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-me-13\Desktop\"/>
    </mc:Choice>
  </mc:AlternateContent>
  <bookViews>
    <workbookView xWindow="0" yWindow="0" windowWidth="20460" windowHeight="7590" firstSheet="1" activeTab="4"/>
  </bookViews>
  <sheets>
    <sheet name="آنالیز مناقصه 1402-1401" sheetId="30" state="hidden" r:id="rId1"/>
    <sheet name="اطلاعات پرسنل" sheetId="11" r:id="rId2"/>
    <sheet name="آنالیز سود و هزینه های سربار" sheetId="27" state="hidden" r:id="rId3"/>
    <sheet name="ریز محاسبات" sheetId="25" r:id="rId4"/>
    <sheet name="آنالیز آبیک،طارم وبهره برداری2 " sheetId="37" r:id="rId5"/>
    <sheet name="آنالیز پیشنهادی مذاکره 31 نفر " sheetId="28" state="hidden" r:id="rId6"/>
  </sheets>
  <externalReferences>
    <externalReference r:id="rId7"/>
    <externalReference r:id="rId8"/>
    <externalReference r:id="rId9"/>
  </externalReferences>
  <definedNames>
    <definedName name="_xlnm._FilterDatabase" localSheetId="1" hidden="1">'اطلاعات پرسنل'!$A$1:$O$4</definedName>
    <definedName name="_xlnm.Print_Area" localSheetId="4">'[1]آنالیز آبیک,طارم و بهره برداری'!$B$1:$E$28</definedName>
    <definedName name="_xlnm.Print_Area" localSheetId="5">'آنالیز پیشنهادی مذاکره 31 نفر '!$B$1:$E$28</definedName>
    <definedName name="_xlnm.Print_Area" localSheetId="2">'آنالیز سود و هزینه های سربار'!$B$2:$D$18</definedName>
    <definedName name="_xlnm.Print_Area" localSheetId="0">'آنالیز مناقصه 1402-1401'!$B$1:$E$26</definedName>
    <definedName name="_xlnm.Print_Area" localSheetId="3">'ریز محاسبات'!$C$1:$AK$51</definedName>
    <definedName name="ط" localSheetId="1">[2]كاركرد!#REF!</definedName>
    <definedName name="ط" localSheetId="4">[3]كاركرد!#REF!</definedName>
    <definedName name="ط" localSheetId="5">[3]كاركرد!#REF!</definedName>
    <definedName name="ط" localSheetId="2">[3]كاركرد!#REF!</definedName>
    <definedName name="ط" localSheetId="0">#REF!</definedName>
    <definedName name="ط" localSheetId="3">[3]كاركرد!#REF!</definedName>
    <definedName name="ط">[3]كاركرد!#REF!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62" i="25" l="1"/>
  <c r="AA162" i="25"/>
  <c r="W162" i="25"/>
  <c r="AJ162" i="25"/>
  <c r="AH162" i="25"/>
  <c r="T162" i="25"/>
  <c r="O162" i="25"/>
  <c r="H162" i="25"/>
  <c r="G21" i="37"/>
  <c r="E21" i="37"/>
  <c r="I196" i="25"/>
  <c r="I198" i="25" s="1"/>
  <c r="J196" i="25"/>
  <c r="J198" i="25" s="1"/>
  <c r="AO201" i="25" s="1"/>
  <c r="AO202" i="25" s="1"/>
  <c r="K196" i="25"/>
  <c r="K198" i="25" s="1"/>
  <c r="L196" i="25"/>
  <c r="L198" i="25" s="1"/>
  <c r="M196" i="25"/>
  <c r="M198" i="25" s="1"/>
  <c r="O196" i="25"/>
  <c r="O198" i="25" s="1"/>
  <c r="Q196" i="25"/>
  <c r="Q198" i="25" s="1"/>
  <c r="R196" i="25"/>
  <c r="U196" i="25"/>
  <c r="U198" i="25" s="1"/>
  <c r="W196" i="25"/>
  <c r="W198" i="25" s="1"/>
  <c r="Y196" i="25"/>
  <c r="Y198" i="25" s="1"/>
  <c r="AA196" i="25"/>
  <c r="AA198" i="25" s="1"/>
  <c r="AC196" i="25"/>
  <c r="AC198" i="25" s="1"/>
  <c r="AE196" i="25"/>
  <c r="AE198" i="25" s="1"/>
  <c r="R198" i="25"/>
  <c r="G196" i="25"/>
  <c r="AI195" i="25"/>
  <c r="AG195" i="25"/>
  <c r="P195" i="25"/>
  <c r="N195" i="25"/>
  <c r="H195" i="25"/>
  <c r="AJ195" i="25" s="1"/>
  <c r="AI194" i="25"/>
  <c r="AG194" i="25"/>
  <c r="P194" i="25"/>
  <c r="AB194" i="25"/>
  <c r="N194" i="25"/>
  <c r="H194" i="25"/>
  <c r="AJ194" i="25" s="1"/>
  <c r="S194" i="25"/>
  <c r="AI193" i="25"/>
  <c r="AG193" i="25"/>
  <c r="S193" i="25"/>
  <c r="P193" i="25"/>
  <c r="AB193" i="25"/>
  <c r="N193" i="25"/>
  <c r="H193" i="25"/>
  <c r="AJ193" i="25" s="1"/>
  <c r="AI192" i="25"/>
  <c r="AG192" i="25"/>
  <c r="V192" i="25"/>
  <c r="P192" i="25"/>
  <c r="AB192" i="25"/>
  <c r="N192" i="25"/>
  <c r="H192" i="25"/>
  <c r="AH192" i="25" s="1"/>
  <c r="AI191" i="25"/>
  <c r="AG191" i="25"/>
  <c r="AB191" i="25"/>
  <c r="P191" i="25"/>
  <c r="AF191" i="25"/>
  <c r="AD191" i="25"/>
  <c r="H191" i="25"/>
  <c r="AH191" i="25" s="1"/>
  <c r="AI190" i="25"/>
  <c r="AG190" i="25"/>
  <c r="X190" i="25"/>
  <c r="AF190" i="25"/>
  <c r="AD190" i="25"/>
  <c r="H190" i="25"/>
  <c r="AJ190" i="25" s="1"/>
  <c r="T190" i="25"/>
  <c r="AI189" i="25"/>
  <c r="AG189" i="25"/>
  <c r="AB189" i="25"/>
  <c r="X189" i="25"/>
  <c r="V189" i="25"/>
  <c r="P189" i="25"/>
  <c r="AF189" i="25"/>
  <c r="AD189" i="25"/>
  <c r="H189" i="25"/>
  <c r="AH189" i="25" s="1"/>
  <c r="AI188" i="25"/>
  <c r="AG188" i="25"/>
  <c r="Z188" i="25"/>
  <c r="V188" i="25"/>
  <c r="P188" i="25"/>
  <c r="AF188" i="25"/>
  <c r="AD188" i="25"/>
  <c r="H188" i="25"/>
  <c r="AJ188" i="25" s="1"/>
  <c r="AI187" i="25"/>
  <c r="AG187" i="25"/>
  <c r="Z187" i="25"/>
  <c r="V187" i="25"/>
  <c r="AF187" i="25"/>
  <c r="AD187" i="25"/>
  <c r="H187" i="25"/>
  <c r="AH187" i="25" s="1"/>
  <c r="AI186" i="25"/>
  <c r="AG186" i="25"/>
  <c r="Z186" i="25"/>
  <c r="V186" i="25"/>
  <c r="AF186" i="25"/>
  <c r="AD186" i="25"/>
  <c r="H186" i="25"/>
  <c r="AH186" i="25" s="1"/>
  <c r="AI185" i="25"/>
  <c r="AG185" i="25"/>
  <c r="P185" i="25"/>
  <c r="AB185" i="25"/>
  <c r="AD185" i="25"/>
  <c r="H185" i="25"/>
  <c r="AJ185" i="25" s="1"/>
  <c r="AI184" i="25"/>
  <c r="AG184" i="25"/>
  <c r="AF184" i="25"/>
  <c r="P184" i="25"/>
  <c r="AB184" i="25"/>
  <c r="Z184" i="25"/>
  <c r="H184" i="25"/>
  <c r="S184" i="25"/>
  <c r="AI183" i="25"/>
  <c r="AG183" i="25"/>
  <c r="AD183" i="25"/>
  <c r="S183" i="25"/>
  <c r="X183" i="25"/>
  <c r="Z183" i="25"/>
  <c r="H183" i="25"/>
  <c r="AI182" i="25"/>
  <c r="AG182" i="25"/>
  <c r="AD182" i="25"/>
  <c r="AB182" i="25"/>
  <c r="X182" i="25"/>
  <c r="Z182" i="25"/>
  <c r="H182" i="25"/>
  <c r="T182" i="25"/>
  <c r="AI181" i="25"/>
  <c r="AG181" i="25"/>
  <c r="AD181" i="25"/>
  <c r="V181" i="25"/>
  <c r="X181" i="25"/>
  <c r="Z181" i="25"/>
  <c r="H181" i="25"/>
  <c r="T181" i="25" s="1"/>
  <c r="AI180" i="25"/>
  <c r="AG180" i="25"/>
  <c r="AF180" i="25"/>
  <c r="X180" i="25"/>
  <c r="V180" i="25"/>
  <c r="P180" i="25"/>
  <c r="AB180" i="25"/>
  <c r="Z180" i="25"/>
  <c r="H180" i="25"/>
  <c r="AJ180" i="25" s="1"/>
  <c r="S180" i="25"/>
  <c r="AI179" i="25"/>
  <c r="AG179" i="25"/>
  <c r="AF179" i="25"/>
  <c r="AD179" i="25"/>
  <c r="X179" i="25"/>
  <c r="V179" i="25"/>
  <c r="S179" i="25"/>
  <c r="P179" i="25"/>
  <c r="AB179" i="25"/>
  <c r="N179" i="25"/>
  <c r="H179" i="25"/>
  <c r="AH179" i="25" s="1"/>
  <c r="AI178" i="25"/>
  <c r="AG178" i="25"/>
  <c r="AD178" i="25"/>
  <c r="Z178" i="25"/>
  <c r="V178" i="25"/>
  <c r="P178" i="25"/>
  <c r="N178" i="25"/>
  <c r="AF178" i="25"/>
  <c r="H178" i="25"/>
  <c r="AH178" i="25" s="1"/>
  <c r="AI177" i="25"/>
  <c r="AG177" i="25"/>
  <c r="X177" i="25"/>
  <c r="V177" i="25"/>
  <c r="AF177" i="25"/>
  <c r="AD177" i="25"/>
  <c r="H177" i="25"/>
  <c r="AH177" i="25" s="1"/>
  <c r="T177" i="25"/>
  <c r="AI176" i="25"/>
  <c r="AG176" i="25"/>
  <c r="P176" i="25"/>
  <c r="X176" i="25"/>
  <c r="AD176" i="25"/>
  <c r="H176" i="25"/>
  <c r="AH176" i="25" s="1"/>
  <c r="F135" i="25"/>
  <c r="F134" i="25"/>
  <c r="F133" i="25"/>
  <c r="F132" i="25"/>
  <c r="F131" i="25"/>
  <c r="F130" i="25"/>
  <c r="F129" i="25"/>
  <c r="F128" i="25"/>
  <c r="F127" i="25"/>
  <c r="F126" i="25"/>
  <c r="F125" i="25"/>
  <c r="F124" i="25"/>
  <c r="F123" i="25"/>
  <c r="F122" i="25"/>
  <c r="F121" i="25"/>
  <c r="F120" i="25"/>
  <c r="F119" i="25"/>
  <c r="F118" i="25"/>
  <c r="F117" i="25"/>
  <c r="F116" i="25"/>
  <c r="F115" i="25"/>
  <c r="F114" i="25"/>
  <c r="F113" i="25"/>
  <c r="F112" i="25"/>
  <c r="F111" i="25"/>
  <c r="F110" i="25"/>
  <c r="F109" i="25"/>
  <c r="F108" i="25"/>
  <c r="F107" i="25"/>
  <c r="F106" i="25"/>
  <c r="F105" i="25"/>
  <c r="F104" i="25"/>
  <c r="F103" i="25"/>
  <c r="F102" i="25"/>
  <c r="F101" i="25"/>
  <c r="F100" i="25"/>
  <c r="F99" i="25"/>
  <c r="F98" i="25"/>
  <c r="F97" i="25"/>
  <c r="F96" i="25"/>
  <c r="F95" i="25"/>
  <c r="F94" i="25"/>
  <c r="F93" i="25"/>
  <c r="F92" i="25"/>
  <c r="F91" i="25"/>
  <c r="F90" i="25"/>
  <c r="F89" i="25"/>
  <c r="F88" i="25"/>
  <c r="F87" i="25"/>
  <c r="F86" i="25"/>
  <c r="F85" i="25"/>
  <c r="F84" i="25"/>
  <c r="F83" i="25"/>
  <c r="F82" i="25"/>
  <c r="F68" i="25"/>
  <c r="F67" i="25"/>
  <c r="F66" i="25"/>
  <c r="F65" i="25"/>
  <c r="F64" i="25"/>
  <c r="F63" i="25"/>
  <c r="F62" i="25"/>
  <c r="F61" i="25"/>
  <c r="F60" i="25"/>
  <c r="F59" i="25"/>
  <c r="F58" i="25"/>
  <c r="F57" i="25"/>
  <c r="F56" i="25"/>
  <c r="B57" i="25"/>
  <c r="B58" i="25"/>
  <c r="B59" i="25"/>
  <c r="B60" i="25"/>
  <c r="B61" i="25"/>
  <c r="B62" i="25"/>
  <c r="B63" i="25"/>
  <c r="B64" i="25"/>
  <c r="B65" i="25"/>
  <c r="B66" i="25"/>
  <c r="B67" i="25"/>
  <c r="B68" i="25"/>
  <c r="B56" i="25"/>
  <c r="F150" i="25"/>
  <c r="B83" i="25"/>
  <c r="B84" i="25"/>
  <c r="B85" i="25"/>
  <c r="B86" i="25"/>
  <c r="B87" i="25"/>
  <c r="B88" i="25"/>
  <c r="B89" i="25"/>
  <c r="B90" i="25"/>
  <c r="B91" i="25"/>
  <c r="B92" i="25"/>
  <c r="B93" i="25"/>
  <c r="B94" i="25"/>
  <c r="B95" i="25"/>
  <c r="B96" i="25"/>
  <c r="B97" i="25"/>
  <c r="B98" i="25"/>
  <c r="B99" i="25"/>
  <c r="B100" i="25"/>
  <c r="B101" i="25"/>
  <c r="B102" i="25"/>
  <c r="B103" i="25"/>
  <c r="B104" i="25"/>
  <c r="B105" i="25"/>
  <c r="B106" i="25"/>
  <c r="B107" i="25"/>
  <c r="B108" i="25"/>
  <c r="B109" i="25"/>
  <c r="B110" i="25"/>
  <c r="B111" i="25"/>
  <c r="B112" i="25"/>
  <c r="B113" i="25"/>
  <c r="B114" i="25"/>
  <c r="B115" i="25"/>
  <c r="B116" i="25"/>
  <c r="B117" i="25"/>
  <c r="B118" i="25"/>
  <c r="B119" i="25"/>
  <c r="B120" i="25"/>
  <c r="B121" i="25"/>
  <c r="B122" i="25"/>
  <c r="B123" i="25"/>
  <c r="B124" i="25"/>
  <c r="B125" i="25"/>
  <c r="B126" i="25"/>
  <c r="B127" i="25"/>
  <c r="B128" i="25"/>
  <c r="B129" i="25"/>
  <c r="B130" i="25"/>
  <c r="B131" i="25"/>
  <c r="B132" i="25"/>
  <c r="B133" i="25"/>
  <c r="B134" i="25"/>
  <c r="B135" i="25"/>
  <c r="B82" i="25"/>
  <c r="K136" i="25"/>
  <c r="K138" i="25" s="1"/>
  <c r="L136" i="25"/>
  <c r="L138" i="25" s="1"/>
  <c r="M136" i="25"/>
  <c r="M138" i="25" s="1"/>
  <c r="Q136" i="25"/>
  <c r="Q138" i="25" s="1"/>
  <c r="R136" i="25"/>
  <c r="R138" i="25" s="1"/>
  <c r="U136" i="25"/>
  <c r="U138" i="25" s="1"/>
  <c r="W136" i="25"/>
  <c r="W138" i="25" s="1"/>
  <c r="Y136" i="25"/>
  <c r="Y138" i="25" s="1"/>
  <c r="AA136" i="25"/>
  <c r="AC136" i="25"/>
  <c r="AC138" i="25" s="1"/>
  <c r="AE136" i="25"/>
  <c r="AE138" i="25" s="1"/>
  <c r="G136" i="25"/>
  <c r="F163" i="25" l="1"/>
  <c r="F210" i="25" s="1"/>
  <c r="E24" i="37" s="1"/>
  <c r="AJ177" i="25"/>
  <c r="T195" i="25"/>
  <c r="T178" i="25"/>
  <c r="T188" i="25"/>
  <c r="T192" i="25"/>
  <c r="AI196" i="25"/>
  <c r="AI198" i="25" s="1"/>
  <c r="T185" i="25"/>
  <c r="AH190" i="25"/>
  <c r="T191" i="25"/>
  <c r="AG196" i="25"/>
  <c r="AG198" i="25" s="1"/>
  <c r="AJ189" i="25"/>
  <c r="H196" i="25"/>
  <c r="H198" i="25" s="1"/>
  <c r="T186" i="25"/>
  <c r="T189" i="25"/>
  <c r="AL189" i="25" s="1"/>
  <c r="AJ176" i="25"/>
  <c r="AH188" i="25"/>
  <c r="T179" i="25"/>
  <c r="T176" i="25"/>
  <c r="T180" i="25"/>
  <c r="AJ187" i="25"/>
  <c r="AJ192" i="25"/>
  <c r="T193" i="25"/>
  <c r="AJ186" i="25"/>
  <c r="AJ179" i="25"/>
  <c r="AJ178" i="25"/>
  <c r="T187" i="25"/>
  <c r="AF193" i="25"/>
  <c r="AF194" i="25"/>
  <c r="AB178" i="25"/>
  <c r="N190" i="25"/>
  <c r="V176" i="25"/>
  <c r="N177" i="25"/>
  <c r="V184" i="25"/>
  <c r="X185" i="25"/>
  <c r="Z189" i="25"/>
  <c r="Z179" i="25"/>
  <c r="AK179" i="25" s="1"/>
  <c r="V183" i="25"/>
  <c r="X184" i="25"/>
  <c r="AF185" i="25"/>
  <c r="P190" i="25"/>
  <c r="Z176" i="25"/>
  <c r="P177" i="25"/>
  <c r="V182" i="25"/>
  <c r="AB183" i="25"/>
  <c r="AD184" i="25"/>
  <c r="V190" i="25"/>
  <c r="N191" i="25"/>
  <c r="Z190" i="25"/>
  <c r="Z177" i="25"/>
  <c r="AB181" i="25"/>
  <c r="AB190" i="25"/>
  <c r="V191" i="25"/>
  <c r="AB177" i="25"/>
  <c r="X191" i="25"/>
  <c r="X192" i="25"/>
  <c r="X178" i="25"/>
  <c r="AD180" i="25"/>
  <c r="N189" i="25"/>
  <c r="Z191" i="25"/>
  <c r="Z192" i="25"/>
  <c r="AD192" i="25"/>
  <c r="V193" i="25"/>
  <c r="AF192" i="25"/>
  <c r="X193" i="25"/>
  <c r="T194" i="25"/>
  <c r="V195" i="25"/>
  <c r="N176" i="25"/>
  <c r="Z193" i="25"/>
  <c r="X194" i="25"/>
  <c r="AF181" i="25"/>
  <c r="AF182" i="25"/>
  <c r="AF183" i="25"/>
  <c r="AH185" i="25"/>
  <c r="N186" i="25"/>
  <c r="N187" i="25"/>
  <c r="N188" i="25"/>
  <c r="AJ191" i="25"/>
  <c r="S192" i="25"/>
  <c r="V194" i="25"/>
  <c r="X195" i="25"/>
  <c r="AB176" i="25"/>
  <c r="AH184" i="25"/>
  <c r="N185" i="25"/>
  <c r="S191" i="25"/>
  <c r="Z195" i="25"/>
  <c r="AH180" i="25"/>
  <c r="AL180" i="25" s="1"/>
  <c r="N181" i="25"/>
  <c r="AH181" i="25"/>
  <c r="N182" i="25"/>
  <c r="AH182" i="25"/>
  <c r="N183" i="25"/>
  <c r="AH183" i="25"/>
  <c r="N184" i="25"/>
  <c r="AK184" i="25" s="1"/>
  <c r="P186" i="25"/>
  <c r="P187" i="25"/>
  <c r="S188" i="25"/>
  <c r="S189" i="25"/>
  <c r="S190" i="25"/>
  <c r="Z194" i="25"/>
  <c r="AB195" i="25"/>
  <c r="AF176" i="25"/>
  <c r="N180" i="25"/>
  <c r="P181" i="25"/>
  <c r="P183" i="25"/>
  <c r="AJ184" i="25"/>
  <c r="S185" i="25"/>
  <c r="S186" i="25"/>
  <c r="S187" i="25"/>
  <c r="AD195" i="25"/>
  <c r="AJ181" i="25"/>
  <c r="P182" i="25"/>
  <c r="AJ182" i="25"/>
  <c r="AJ183" i="25"/>
  <c r="AD194" i="25"/>
  <c r="AF195" i="25"/>
  <c r="S181" i="25"/>
  <c r="S182" i="25"/>
  <c r="T184" i="25"/>
  <c r="V185" i="25"/>
  <c r="X188" i="25"/>
  <c r="AD193" i="25"/>
  <c r="T183" i="25"/>
  <c r="X186" i="25"/>
  <c r="X187" i="25"/>
  <c r="AH195" i="25"/>
  <c r="S178" i="25"/>
  <c r="AK178" i="25" s="1"/>
  <c r="Z185" i="25"/>
  <c r="AB188" i="25"/>
  <c r="AH194" i="25"/>
  <c r="S176" i="25"/>
  <c r="S177" i="25"/>
  <c r="AB186" i="25"/>
  <c r="AB187" i="25"/>
  <c r="AH193" i="25"/>
  <c r="S195" i="25"/>
  <c r="AA138" i="25"/>
  <c r="AK192" i="25" l="1"/>
  <c r="AK195" i="25"/>
  <c r="AL179" i="25"/>
  <c r="X196" i="25"/>
  <c r="X198" i="25" s="1"/>
  <c r="AL190" i="25"/>
  <c r="AK189" i="25"/>
  <c r="AD196" i="25"/>
  <c r="AD198" i="25" s="1"/>
  <c r="AL188" i="25"/>
  <c r="S196" i="25"/>
  <c r="S198" i="25" s="1"/>
  <c r="AL176" i="25"/>
  <c r="AB196" i="25"/>
  <c r="AB198" i="25" s="1"/>
  <c r="AK183" i="25"/>
  <c r="AJ196" i="25"/>
  <c r="AJ198" i="25" s="1"/>
  <c r="N196" i="25"/>
  <c r="N198" i="25" s="1"/>
  <c r="AF196" i="25"/>
  <c r="AF198" i="25" s="1"/>
  <c r="V196" i="25"/>
  <c r="V198" i="25" s="1"/>
  <c r="AL177" i="25"/>
  <c r="P196" i="25"/>
  <c r="P198" i="25" s="1"/>
  <c r="Z196" i="25"/>
  <c r="Z198" i="25" s="1"/>
  <c r="T196" i="25"/>
  <c r="T198" i="25" s="1"/>
  <c r="AH196" i="25"/>
  <c r="AH198" i="25" s="1"/>
  <c r="AL178" i="25"/>
  <c r="AL192" i="25"/>
  <c r="AK193" i="25"/>
  <c r="AK180" i="25"/>
  <c r="AL181" i="25"/>
  <c r="AL191" i="25"/>
  <c r="AL182" i="25"/>
  <c r="AL183" i="25"/>
  <c r="AK187" i="25"/>
  <c r="AK190" i="25"/>
  <c r="AK177" i="25"/>
  <c r="AL185" i="25"/>
  <c r="AK176" i="25"/>
  <c r="AK191" i="25"/>
  <c r="AL194" i="25"/>
  <c r="AL187" i="25"/>
  <c r="AL186" i="25"/>
  <c r="AL184" i="25"/>
  <c r="AL193" i="25"/>
  <c r="AL195" i="25"/>
  <c r="AK194" i="25"/>
  <c r="AK186" i="25"/>
  <c r="AK185" i="25"/>
  <c r="AK182" i="25"/>
  <c r="AK181" i="25"/>
  <c r="AK188" i="25"/>
  <c r="D84" i="25"/>
  <c r="D85" i="25"/>
  <c r="D86" i="25"/>
  <c r="D87" i="25"/>
  <c r="D88" i="25"/>
  <c r="D89" i="25"/>
  <c r="D90" i="25"/>
  <c r="D91" i="25"/>
  <c r="D92" i="25"/>
  <c r="D93" i="25"/>
  <c r="D94" i="25"/>
  <c r="D95" i="25"/>
  <c r="D96" i="25"/>
  <c r="D97" i="25"/>
  <c r="D98" i="25"/>
  <c r="D99" i="25"/>
  <c r="D100" i="25"/>
  <c r="D101" i="25"/>
  <c r="D102" i="25"/>
  <c r="D103" i="25"/>
  <c r="D104" i="25"/>
  <c r="D105" i="25"/>
  <c r="D106" i="25"/>
  <c r="D107" i="25"/>
  <c r="D108" i="25"/>
  <c r="D109" i="25"/>
  <c r="D110" i="25"/>
  <c r="D111" i="25"/>
  <c r="D112" i="25"/>
  <c r="D113" i="25"/>
  <c r="D114" i="25"/>
  <c r="D115" i="25"/>
  <c r="D116" i="25"/>
  <c r="D117" i="25"/>
  <c r="D118" i="25"/>
  <c r="D119" i="25"/>
  <c r="D120" i="25"/>
  <c r="D121" i="25"/>
  <c r="D122" i="25"/>
  <c r="D123" i="25"/>
  <c r="D124" i="25"/>
  <c r="D125" i="25"/>
  <c r="D126" i="25"/>
  <c r="D127" i="25"/>
  <c r="D128" i="25"/>
  <c r="D129" i="25"/>
  <c r="D130" i="25"/>
  <c r="D131" i="25"/>
  <c r="D132" i="25"/>
  <c r="D133" i="25"/>
  <c r="D134" i="25"/>
  <c r="D135" i="25"/>
  <c r="D83" i="25"/>
  <c r="D82" i="25"/>
  <c r="E94" i="25"/>
  <c r="H94" i="25"/>
  <c r="AJ94" i="25" s="1"/>
  <c r="I94" i="25"/>
  <c r="V94" i="25" s="1"/>
  <c r="J94" i="25"/>
  <c r="AF94" i="25" s="1"/>
  <c r="P94" i="25"/>
  <c r="S94" i="25"/>
  <c r="AG94" i="25"/>
  <c r="AI94" i="25"/>
  <c r="E95" i="25"/>
  <c r="H95" i="25"/>
  <c r="I95" i="25"/>
  <c r="AD95" i="25" s="1"/>
  <c r="J95" i="25"/>
  <c r="S95" i="25"/>
  <c r="AG95" i="25"/>
  <c r="AI95" i="25"/>
  <c r="E96" i="25"/>
  <c r="H96" i="25"/>
  <c r="I96" i="25"/>
  <c r="Z96" i="25" s="1"/>
  <c r="J96" i="25"/>
  <c r="S96" i="25"/>
  <c r="AG96" i="25"/>
  <c r="AI96" i="25"/>
  <c r="E97" i="25"/>
  <c r="H97" i="25"/>
  <c r="AJ97" i="25" s="1"/>
  <c r="I97" i="25"/>
  <c r="V97" i="25" s="1"/>
  <c r="J97" i="25"/>
  <c r="P97" i="25"/>
  <c r="S97" i="25"/>
  <c r="AG97" i="25"/>
  <c r="AI97" i="25"/>
  <c r="E98" i="25"/>
  <c r="H98" i="25"/>
  <c r="T98" i="25" s="1"/>
  <c r="I98" i="25"/>
  <c r="N98" i="25" s="1"/>
  <c r="J98" i="25"/>
  <c r="P98" i="25"/>
  <c r="S98" i="25"/>
  <c r="AG98" i="25"/>
  <c r="AI98" i="25"/>
  <c r="E99" i="25"/>
  <c r="H99" i="25"/>
  <c r="AH99" i="25" s="1"/>
  <c r="I99" i="25"/>
  <c r="V99" i="25" s="1"/>
  <c r="J99" i="25"/>
  <c r="AB99" i="25" s="1"/>
  <c r="P99" i="25"/>
  <c r="S99" i="25"/>
  <c r="AG99" i="25"/>
  <c r="AI99" i="25"/>
  <c r="E100" i="25"/>
  <c r="H100" i="25"/>
  <c r="T100" i="25" s="1"/>
  <c r="I100" i="25"/>
  <c r="V100" i="25" s="1"/>
  <c r="J100" i="25"/>
  <c r="AF100" i="25" s="1"/>
  <c r="P100" i="25"/>
  <c r="S100" i="25"/>
  <c r="AG100" i="25"/>
  <c r="AI100" i="25"/>
  <c r="E101" i="25"/>
  <c r="H101" i="25"/>
  <c r="AJ101" i="25" s="1"/>
  <c r="I101" i="25"/>
  <c r="AD101" i="25" s="1"/>
  <c r="J101" i="25"/>
  <c r="AF101" i="25" s="1"/>
  <c r="P101" i="25"/>
  <c r="S101" i="25"/>
  <c r="AG101" i="25"/>
  <c r="AI101" i="25"/>
  <c r="E102" i="25"/>
  <c r="H102" i="25"/>
  <c r="AH102" i="25" s="1"/>
  <c r="I102" i="25"/>
  <c r="Z102" i="25" s="1"/>
  <c r="J102" i="25"/>
  <c r="AB102" i="25" s="1"/>
  <c r="P102" i="25"/>
  <c r="S102" i="25"/>
  <c r="AG102" i="25"/>
  <c r="AI102" i="25"/>
  <c r="E103" i="25"/>
  <c r="H103" i="25"/>
  <c r="AH103" i="25" s="1"/>
  <c r="I103" i="25"/>
  <c r="N103" i="25" s="1"/>
  <c r="J103" i="25"/>
  <c r="S103" i="25"/>
  <c r="AG103" i="25"/>
  <c r="AI103" i="25"/>
  <c r="E104" i="25"/>
  <c r="H104" i="25"/>
  <c r="T104" i="25" s="1"/>
  <c r="I104" i="25"/>
  <c r="Z104" i="25" s="1"/>
  <c r="J104" i="25"/>
  <c r="P104" i="25"/>
  <c r="S104" i="25"/>
  <c r="AG104" i="25"/>
  <c r="AI104" i="25"/>
  <c r="E105" i="25"/>
  <c r="H105" i="25"/>
  <c r="T105" i="25" s="1"/>
  <c r="I105" i="25"/>
  <c r="V105" i="25" s="1"/>
  <c r="J105" i="25"/>
  <c r="X105" i="25" s="1"/>
  <c r="P105" i="25"/>
  <c r="S105" i="25"/>
  <c r="AG105" i="25"/>
  <c r="AI105" i="25"/>
  <c r="E106" i="25"/>
  <c r="H106" i="25"/>
  <c r="O106" i="25" s="1"/>
  <c r="I106" i="25"/>
  <c r="V106" i="25" s="1"/>
  <c r="J106" i="25"/>
  <c r="S106" i="25"/>
  <c r="AG106" i="25"/>
  <c r="AI106" i="25"/>
  <c r="E107" i="25"/>
  <c r="H107" i="25"/>
  <c r="T107" i="25" s="1"/>
  <c r="I107" i="25"/>
  <c r="AD107" i="25" s="1"/>
  <c r="J107" i="25"/>
  <c r="AF107" i="25" s="1"/>
  <c r="P107" i="25"/>
  <c r="S107" i="25"/>
  <c r="AG107" i="25"/>
  <c r="AI107" i="25"/>
  <c r="E108" i="25"/>
  <c r="H108" i="25"/>
  <c r="AH108" i="25" s="1"/>
  <c r="I108" i="25"/>
  <c r="Z108" i="25" s="1"/>
  <c r="J108" i="25"/>
  <c r="AB108" i="25" s="1"/>
  <c r="P108" i="25"/>
  <c r="S108" i="25"/>
  <c r="AG108" i="25"/>
  <c r="AI108" i="25"/>
  <c r="E109" i="25"/>
  <c r="H109" i="25"/>
  <c r="AJ109" i="25" s="1"/>
  <c r="I109" i="25"/>
  <c r="N109" i="25" s="1"/>
  <c r="J109" i="25"/>
  <c r="P109" i="25"/>
  <c r="S109" i="25"/>
  <c r="AG109" i="25"/>
  <c r="AI109" i="25"/>
  <c r="E110" i="25"/>
  <c r="H110" i="25"/>
  <c r="T110" i="25" s="1"/>
  <c r="I110" i="25"/>
  <c r="Z110" i="25" s="1"/>
  <c r="J110" i="25"/>
  <c r="P110" i="25"/>
  <c r="S110" i="25"/>
  <c r="AG110" i="25"/>
  <c r="AI110" i="25"/>
  <c r="E111" i="25"/>
  <c r="H111" i="25"/>
  <c r="T111" i="25" s="1"/>
  <c r="I111" i="25"/>
  <c r="V111" i="25" s="1"/>
  <c r="J111" i="25"/>
  <c r="X111" i="25" s="1"/>
  <c r="P111" i="25"/>
  <c r="S111" i="25"/>
  <c r="AG111" i="25"/>
  <c r="AI111" i="25"/>
  <c r="E112" i="25"/>
  <c r="H112" i="25"/>
  <c r="O112" i="25" s="1"/>
  <c r="I112" i="25"/>
  <c r="Z112" i="25" s="1"/>
  <c r="J112" i="25"/>
  <c r="S112" i="25"/>
  <c r="AG112" i="25"/>
  <c r="AI112" i="25"/>
  <c r="E113" i="25"/>
  <c r="H113" i="25"/>
  <c r="T113" i="25" s="1"/>
  <c r="I113" i="25"/>
  <c r="AD113" i="25" s="1"/>
  <c r="J113" i="25"/>
  <c r="AF113" i="25" s="1"/>
  <c r="P113" i="25"/>
  <c r="S113" i="25"/>
  <c r="AG113" i="25"/>
  <c r="AI113" i="25"/>
  <c r="E114" i="25"/>
  <c r="H114" i="25"/>
  <c r="AH114" i="25" s="1"/>
  <c r="I114" i="25"/>
  <c r="Z114" i="25" s="1"/>
  <c r="J114" i="25"/>
  <c r="AB114" i="25" s="1"/>
  <c r="P114" i="25"/>
  <c r="S114" i="25"/>
  <c r="AG114" i="25"/>
  <c r="AI114" i="25"/>
  <c r="E115" i="25"/>
  <c r="H115" i="25"/>
  <c r="AH115" i="25" s="1"/>
  <c r="I115" i="25"/>
  <c r="N115" i="25" s="1"/>
  <c r="J115" i="25"/>
  <c r="S115" i="25"/>
  <c r="AG115" i="25"/>
  <c r="AI115" i="25"/>
  <c r="E116" i="25"/>
  <c r="H116" i="25"/>
  <c r="T116" i="25" s="1"/>
  <c r="I116" i="25"/>
  <c r="N116" i="25" s="1"/>
  <c r="J116" i="25"/>
  <c r="P116" i="25"/>
  <c r="S116" i="25"/>
  <c r="AG116" i="25"/>
  <c r="AI116" i="25"/>
  <c r="E117" i="25"/>
  <c r="H117" i="25"/>
  <c r="AH117" i="25" s="1"/>
  <c r="I117" i="25"/>
  <c r="V117" i="25" s="1"/>
  <c r="J117" i="25"/>
  <c r="X117" i="25" s="1"/>
  <c r="P117" i="25"/>
  <c r="S117" i="25"/>
  <c r="AG117" i="25"/>
  <c r="AI117" i="25"/>
  <c r="E118" i="25"/>
  <c r="H118" i="25"/>
  <c r="AH118" i="25" s="1"/>
  <c r="I118" i="25"/>
  <c r="Z118" i="25" s="1"/>
  <c r="J118" i="25"/>
  <c r="AF118" i="25" s="1"/>
  <c r="P118" i="25"/>
  <c r="S118" i="25"/>
  <c r="AG118" i="25"/>
  <c r="AI118" i="25"/>
  <c r="E119" i="25"/>
  <c r="H119" i="25"/>
  <c r="AH119" i="25" s="1"/>
  <c r="I119" i="25"/>
  <c r="AD119" i="25" s="1"/>
  <c r="J119" i="25"/>
  <c r="AF119" i="25" s="1"/>
  <c r="P119" i="25"/>
  <c r="S119" i="25"/>
  <c r="AG119" i="25"/>
  <c r="AI119" i="25"/>
  <c r="E120" i="25"/>
  <c r="H120" i="25"/>
  <c r="AH120" i="25" s="1"/>
  <c r="I120" i="25"/>
  <c r="Z120" i="25" s="1"/>
  <c r="J120" i="25"/>
  <c r="AB120" i="25" s="1"/>
  <c r="P120" i="25"/>
  <c r="S120" i="25"/>
  <c r="AG120" i="25"/>
  <c r="AI120" i="25"/>
  <c r="E121" i="25"/>
  <c r="H121" i="25"/>
  <c r="AH121" i="25" s="1"/>
  <c r="I121" i="25"/>
  <c r="AD121" i="25" s="1"/>
  <c r="J121" i="25"/>
  <c r="S121" i="25"/>
  <c r="AG121" i="25"/>
  <c r="AI121" i="25"/>
  <c r="E122" i="25"/>
  <c r="H122" i="25"/>
  <c r="T122" i="25" s="1"/>
  <c r="I122" i="25"/>
  <c r="N122" i="25" s="1"/>
  <c r="J122" i="25"/>
  <c r="P122" i="25"/>
  <c r="S122" i="25"/>
  <c r="AG122" i="25"/>
  <c r="AI122" i="25"/>
  <c r="E123" i="25"/>
  <c r="H123" i="25"/>
  <c r="O123" i="25" s="1"/>
  <c r="I123" i="25"/>
  <c r="V123" i="25" s="1"/>
  <c r="J123" i="25"/>
  <c r="S123" i="25"/>
  <c r="AG123" i="25"/>
  <c r="AI123" i="25"/>
  <c r="E124" i="25"/>
  <c r="H124" i="25"/>
  <c r="T124" i="25" s="1"/>
  <c r="I124" i="25"/>
  <c r="Z124" i="25" s="1"/>
  <c r="J124" i="25"/>
  <c r="AF124" i="25" s="1"/>
  <c r="P124" i="25"/>
  <c r="S124" i="25"/>
  <c r="AG124" i="25"/>
  <c r="AI124" i="25"/>
  <c r="E125" i="25"/>
  <c r="H125" i="25"/>
  <c r="AH125" i="25" s="1"/>
  <c r="I125" i="25"/>
  <c r="AD125" i="25" s="1"/>
  <c r="J125" i="25"/>
  <c r="X125" i="25" s="1"/>
  <c r="P125" i="25"/>
  <c r="S125" i="25"/>
  <c r="AG125" i="25"/>
  <c r="AI125" i="25"/>
  <c r="E126" i="25"/>
  <c r="H126" i="25"/>
  <c r="AH126" i="25" s="1"/>
  <c r="I126" i="25"/>
  <c r="AD126" i="25" s="1"/>
  <c r="J126" i="25"/>
  <c r="AB126" i="25" s="1"/>
  <c r="P126" i="25"/>
  <c r="S126" i="25"/>
  <c r="AG126" i="25"/>
  <c r="AI126" i="25"/>
  <c r="E127" i="25"/>
  <c r="H127" i="25"/>
  <c r="AJ127" i="25" s="1"/>
  <c r="I127" i="25"/>
  <c r="N127" i="25" s="1"/>
  <c r="J127" i="25"/>
  <c r="P127" i="25"/>
  <c r="S127" i="25"/>
  <c r="AG127" i="25"/>
  <c r="AI127" i="25"/>
  <c r="E128" i="25"/>
  <c r="H128" i="25"/>
  <c r="AJ128" i="25" s="1"/>
  <c r="I128" i="25"/>
  <c r="Z128" i="25" s="1"/>
  <c r="J128" i="25"/>
  <c r="P128" i="25"/>
  <c r="S128" i="25"/>
  <c r="AG128" i="25"/>
  <c r="AI128" i="25"/>
  <c r="E129" i="25"/>
  <c r="H129" i="25"/>
  <c r="AJ129" i="25" s="1"/>
  <c r="I129" i="25"/>
  <c r="V129" i="25" s="1"/>
  <c r="J129" i="25"/>
  <c r="AB129" i="25" s="1"/>
  <c r="P129" i="25"/>
  <c r="S129" i="25"/>
  <c r="AG129" i="25"/>
  <c r="AI129" i="25"/>
  <c r="E130" i="25"/>
  <c r="H130" i="25"/>
  <c r="AJ130" i="25" s="1"/>
  <c r="I130" i="25"/>
  <c r="Z130" i="25" s="1"/>
  <c r="J130" i="25"/>
  <c r="AF130" i="25" s="1"/>
  <c r="P130" i="25"/>
  <c r="S130" i="25"/>
  <c r="AG130" i="25"/>
  <c r="AI130" i="25"/>
  <c r="E131" i="25"/>
  <c r="H131" i="25"/>
  <c r="I131" i="25"/>
  <c r="AD131" i="25" s="1"/>
  <c r="J131" i="25"/>
  <c r="S131" i="25"/>
  <c r="AG131" i="25"/>
  <c r="AI131" i="25"/>
  <c r="E132" i="25"/>
  <c r="H132" i="25"/>
  <c r="AH132" i="25" s="1"/>
  <c r="I132" i="25"/>
  <c r="AD132" i="25" s="1"/>
  <c r="J132" i="25"/>
  <c r="AF132" i="25" s="1"/>
  <c r="P132" i="25"/>
  <c r="S132" i="25"/>
  <c r="AG132" i="25"/>
  <c r="AI132" i="25"/>
  <c r="E133" i="25"/>
  <c r="H133" i="25"/>
  <c r="AH133" i="25" s="1"/>
  <c r="I133" i="25"/>
  <c r="N133" i="25" s="1"/>
  <c r="J133" i="25"/>
  <c r="S133" i="25"/>
  <c r="AG133" i="25"/>
  <c r="AI133" i="25"/>
  <c r="E134" i="25"/>
  <c r="H134" i="25"/>
  <c r="AH134" i="25" s="1"/>
  <c r="I134" i="25"/>
  <c r="Z134" i="25" s="1"/>
  <c r="J134" i="25"/>
  <c r="P134" i="25"/>
  <c r="S134" i="25"/>
  <c r="T134" i="25"/>
  <c r="AG134" i="25"/>
  <c r="AI134" i="25"/>
  <c r="E135" i="25"/>
  <c r="H135" i="25"/>
  <c r="AH135" i="25" s="1"/>
  <c r="I135" i="25"/>
  <c r="V135" i="25" s="1"/>
  <c r="J135" i="25"/>
  <c r="AF135" i="25" s="1"/>
  <c r="P135" i="25"/>
  <c r="S135" i="25"/>
  <c r="AG135" i="25"/>
  <c r="AI135" i="25"/>
  <c r="AI93" i="25"/>
  <c r="AG93" i="25"/>
  <c r="J93" i="25"/>
  <c r="I93" i="25"/>
  <c r="N93" i="25" s="1"/>
  <c r="H93" i="25"/>
  <c r="T93" i="25" s="1"/>
  <c r="E93" i="25"/>
  <c r="AI92" i="25"/>
  <c r="AG92" i="25"/>
  <c r="J92" i="25"/>
  <c r="I92" i="25"/>
  <c r="N92" i="25" s="1"/>
  <c r="H92" i="25"/>
  <c r="T92" i="25" s="1"/>
  <c r="E92" i="25"/>
  <c r="AI91" i="25"/>
  <c r="AG91" i="25"/>
  <c r="P91" i="25"/>
  <c r="J91" i="25"/>
  <c r="AF91" i="25" s="1"/>
  <c r="I91" i="25"/>
  <c r="AD91" i="25" s="1"/>
  <c r="H91" i="25"/>
  <c r="AH91" i="25" s="1"/>
  <c r="E91" i="25"/>
  <c r="AI90" i="25"/>
  <c r="AG90" i="25"/>
  <c r="P90" i="25"/>
  <c r="J90" i="25"/>
  <c r="AF90" i="25" s="1"/>
  <c r="I90" i="25"/>
  <c r="AD90" i="25" s="1"/>
  <c r="H90" i="25"/>
  <c r="AJ90" i="25" s="1"/>
  <c r="E90" i="25"/>
  <c r="AI89" i="25"/>
  <c r="AG89" i="25"/>
  <c r="J89" i="25"/>
  <c r="I89" i="25"/>
  <c r="AD89" i="25" s="1"/>
  <c r="H89" i="25"/>
  <c r="T89" i="25" s="1"/>
  <c r="E89" i="25"/>
  <c r="AI88" i="25"/>
  <c r="AG88" i="25"/>
  <c r="J88" i="25"/>
  <c r="I88" i="25"/>
  <c r="AD88" i="25" s="1"/>
  <c r="H88" i="25"/>
  <c r="O88" i="25" s="1"/>
  <c r="E88" i="25"/>
  <c r="S88" i="25"/>
  <c r="AI87" i="25"/>
  <c r="AG87" i="25"/>
  <c r="J87" i="25"/>
  <c r="I87" i="25"/>
  <c r="AD87" i="25" s="1"/>
  <c r="H87" i="25"/>
  <c r="O87" i="25" s="1"/>
  <c r="E87" i="25"/>
  <c r="AI86" i="25"/>
  <c r="AG86" i="25"/>
  <c r="P86" i="25"/>
  <c r="J86" i="25"/>
  <c r="X86" i="25" s="1"/>
  <c r="I86" i="25"/>
  <c r="Z86" i="25" s="1"/>
  <c r="H86" i="25"/>
  <c r="AJ86" i="25" s="1"/>
  <c r="E86" i="25"/>
  <c r="S86" i="25"/>
  <c r="AI85" i="25"/>
  <c r="AG85" i="25"/>
  <c r="P85" i="25"/>
  <c r="J85" i="25"/>
  <c r="X85" i="25" s="1"/>
  <c r="I85" i="25"/>
  <c r="V85" i="25" s="1"/>
  <c r="H85" i="25"/>
  <c r="T85" i="25" s="1"/>
  <c r="E85" i="25"/>
  <c r="AI84" i="25"/>
  <c r="AG84" i="25"/>
  <c r="P84" i="25"/>
  <c r="J84" i="25"/>
  <c r="X84" i="25" s="1"/>
  <c r="I84" i="25"/>
  <c r="V84" i="25" s="1"/>
  <c r="H84" i="25"/>
  <c r="AJ84" i="25" s="1"/>
  <c r="E84" i="25"/>
  <c r="AI83" i="25"/>
  <c r="AG83" i="25"/>
  <c r="J83" i="25"/>
  <c r="I83" i="25"/>
  <c r="N83" i="25" s="1"/>
  <c r="H83" i="25"/>
  <c r="T83" i="25" s="1"/>
  <c r="E83" i="25"/>
  <c r="AI82" i="25"/>
  <c r="AG82" i="25"/>
  <c r="P82" i="25"/>
  <c r="J82" i="25"/>
  <c r="AB82" i="25" s="1"/>
  <c r="I82" i="25"/>
  <c r="H82" i="25"/>
  <c r="E82" i="25"/>
  <c r="S82" i="25"/>
  <c r="AR106" i="11"/>
  <c r="AT106" i="11" s="1"/>
  <c r="AP106" i="11"/>
  <c r="AN106" i="11"/>
  <c r="F106" i="11"/>
  <c r="AR105" i="11"/>
  <c r="AT105" i="11" s="1"/>
  <c r="AP105" i="11"/>
  <c r="AN105" i="11"/>
  <c r="F105" i="11"/>
  <c r="AR104" i="11"/>
  <c r="AT104" i="11" s="1"/>
  <c r="AP104" i="11"/>
  <c r="AN104" i="11"/>
  <c r="F104" i="11"/>
  <c r="AR103" i="11"/>
  <c r="AT103" i="11" s="1"/>
  <c r="AP103" i="11"/>
  <c r="AN103" i="11"/>
  <c r="F103" i="11"/>
  <c r="AR102" i="11"/>
  <c r="AT102" i="11" s="1"/>
  <c r="AP102" i="11"/>
  <c r="AN102" i="11"/>
  <c r="F102" i="11"/>
  <c r="AR101" i="11"/>
  <c r="AT101" i="11" s="1"/>
  <c r="AP101" i="11"/>
  <c r="AN101" i="11"/>
  <c r="F101" i="11"/>
  <c r="AR100" i="11"/>
  <c r="AT100" i="11" s="1"/>
  <c r="AP100" i="11"/>
  <c r="AN100" i="11"/>
  <c r="F100" i="11"/>
  <c r="AR99" i="11"/>
  <c r="AT99" i="11" s="1"/>
  <c r="AP99" i="11"/>
  <c r="AN99" i="11"/>
  <c r="F99" i="11"/>
  <c r="AR98" i="11"/>
  <c r="AT98" i="11" s="1"/>
  <c r="AP98" i="11"/>
  <c r="AN98" i="11"/>
  <c r="F98" i="11"/>
  <c r="AR97" i="11"/>
  <c r="AT97" i="11" s="1"/>
  <c r="AP97" i="11"/>
  <c r="AN97" i="11"/>
  <c r="F97" i="11"/>
  <c r="AR96" i="11"/>
  <c r="AT96" i="11" s="1"/>
  <c r="AP96" i="11"/>
  <c r="AN96" i="11"/>
  <c r="F96" i="11"/>
  <c r="AR95" i="11"/>
  <c r="AT95" i="11" s="1"/>
  <c r="AP95" i="11"/>
  <c r="AN95" i="11"/>
  <c r="F95" i="11"/>
  <c r="AR94" i="11"/>
  <c r="AT94" i="11" s="1"/>
  <c r="AP94" i="11"/>
  <c r="AN94" i="11"/>
  <c r="F94" i="11"/>
  <c r="AR93" i="11"/>
  <c r="AT93" i="11" s="1"/>
  <c r="AP93" i="11"/>
  <c r="AN93" i="11"/>
  <c r="F93" i="11"/>
  <c r="AR92" i="11"/>
  <c r="AT92" i="11" s="1"/>
  <c r="AP92" i="11"/>
  <c r="AN92" i="11"/>
  <c r="F92" i="11"/>
  <c r="AR91" i="11"/>
  <c r="AT91" i="11" s="1"/>
  <c r="AP91" i="11"/>
  <c r="AN91" i="11"/>
  <c r="F91" i="11"/>
  <c r="AR90" i="11"/>
  <c r="AT90" i="11" s="1"/>
  <c r="AP90" i="11"/>
  <c r="AN90" i="11"/>
  <c r="F90" i="11"/>
  <c r="AR89" i="11"/>
  <c r="AT89" i="11" s="1"/>
  <c r="AP89" i="11"/>
  <c r="AN89" i="11"/>
  <c r="F89" i="11"/>
  <c r="AR88" i="11"/>
  <c r="AT88" i="11" s="1"/>
  <c r="AP88" i="11"/>
  <c r="AN88" i="11"/>
  <c r="F88" i="11"/>
  <c r="AR87" i="11"/>
  <c r="AT87" i="11" s="1"/>
  <c r="AP87" i="11"/>
  <c r="AN87" i="11"/>
  <c r="F87" i="11"/>
  <c r="AR86" i="11"/>
  <c r="AT86" i="11" s="1"/>
  <c r="AP86" i="11"/>
  <c r="AN86" i="11"/>
  <c r="F86" i="11"/>
  <c r="AR85" i="11"/>
  <c r="AT85" i="11" s="1"/>
  <c r="AP85" i="11"/>
  <c r="AN85" i="11"/>
  <c r="F85" i="11"/>
  <c r="AR84" i="11"/>
  <c r="AT84" i="11" s="1"/>
  <c r="AP84" i="11"/>
  <c r="AN84" i="11"/>
  <c r="F84" i="11"/>
  <c r="AR83" i="11"/>
  <c r="AT83" i="11" s="1"/>
  <c r="AP83" i="11"/>
  <c r="AN83" i="11"/>
  <c r="F83" i="11"/>
  <c r="AR82" i="11"/>
  <c r="AT82" i="11" s="1"/>
  <c r="AP82" i="11"/>
  <c r="AN82" i="11"/>
  <c r="F82" i="11"/>
  <c r="AR81" i="11"/>
  <c r="AT81" i="11" s="1"/>
  <c r="AP81" i="11"/>
  <c r="AN81" i="11"/>
  <c r="F81" i="11"/>
  <c r="AR80" i="11"/>
  <c r="AT80" i="11" s="1"/>
  <c r="AP80" i="11"/>
  <c r="AN80" i="11"/>
  <c r="F80" i="11"/>
  <c r="AR79" i="11"/>
  <c r="AT79" i="11" s="1"/>
  <c r="AP79" i="11"/>
  <c r="AN79" i="11"/>
  <c r="F79" i="11"/>
  <c r="AR78" i="11"/>
  <c r="AT78" i="11" s="1"/>
  <c r="AP78" i="11"/>
  <c r="AN78" i="11"/>
  <c r="F78" i="11"/>
  <c r="AR77" i="11"/>
  <c r="AT77" i="11" s="1"/>
  <c r="AP77" i="11"/>
  <c r="AN77" i="11"/>
  <c r="F77" i="11"/>
  <c r="AR76" i="11"/>
  <c r="AT76" i="11" s="1"/>
  <c r="AP76" i="11"/>
  <c r="AN76" i="11"/>
  <c r="F76" i="11"/>
  <c r="AR75" i="11"/>
  <c r="AT75" i="11" s="1"/>
  <c r="AP75" i="11"/>
  <c r="AN75" i="11"/>
  <c r="F75" i="11"/>
  <c r="AR74" i="11"/>
  <c r="AT74" i="11" s="1"/>
  <c r="AP74" i="11"/>
  <c r="AN74" i="11"/>
  <c r="F74" i="11"/>
  <c r="AR73" i="11"/>
  <c r="AT73" i="11" s="1"/>
  <c r="AP73" i="11"/>
  <c r="AN73" i="11"/>
  <c r="F73" i="11"/>
  <c r="AR72" i="11"/>
  <c r="AT72" i="11" s="1"/>
  <c r="AP72" i="11"/>
  <c r="AN72" i="11"/>
  <c r="F72" i="11"/>
  <c r="AR71" i="11"/>
  <c r="AT71" i="11" s="1"/>
  <c r="AP71" i="11"/>
  <c r="AN71" i="11"/>
  <c r="F71" i="11"/>
  <c r="AR70" i="11"/>
  <c r="AT70" i="11" s="1"/>
  <c r="AP70" i="11"/>
  <c r="AN70" i="11"/>
  <c r="F70" i="11"/>
  <c r="AR69" i="11"/>
  <c r="AT69" i="11" s="1"/>
  <c r="AP69" i="11"/>
  <c r="AN69" i="11"/>
  <c r="F69" i="11"/>
  <c r="AR68" i="11"/>
  <c r="AT68" i="11" s="1"/>
  <c r="AP68" i="11"/>
  <c r="AN68" i="11"/>
  <c r="F68" i="11"/>
  <c r="AR67" i="11"/>
  <c r="AT67" i="11" s="1"/>
  <c r="AP67" i="11"/>
  <c r="AN67" i="11"/>
  <c r="F67" i="11"/>
  <c r="AR66" i="11"/>
  <c r="AT66" i="11" s="1"/>
  <c r="AP66" i="11"/>
  <c r="AN66" i="11"/>
  <c r="F66" i="11"/>
  <c r="AR65" i="11"/>
  <c r="AT65" i="11" s="1"/>
  <c r="AP65" i="11"/>
  <c r="AN65" i="11"/>
  <c r="F65" i="11"/>
  <c r="AR64" i="11"/>
  <c r="AT64" i="11" s="1"/>
  <c r="AP64" i="11"/>
  <c r="AN64" i="11"/>
  <c r="F64" i="11"/>
  <c r="AR63" i="11"/>
  <c r="AT63" i="11" s="1"/>
  <c r="AP63" i="11"/>
  <c r="AN63" i="11"/>
  <c r="F63" i="11"/>
  <c r="AR62" i="11"/>
  <c r="AT62" i="11" s="1"/>
  <c r="AP62" i="11"/>
  <c r="AN62" i="11"/>
  <c r="F62" i="11"/>
  <c r="AR61" i="11"/>
  <c r="AT61" i="11" s="1"/>
  <c r="AP61" i="11"/>
  <c r="AN61" i="11"/>
  <c r="F61" i="11"/>
  <c r="AR60" i="11"/>
  <c r="AT60" i="11" s="1"/>
  <c r="AP60" i="11"/>
  <c r="AN60" i="11"/>
  <c r="F60" i="11"/>
  <c r="AR59" i="11"/>
  <c r="AT59" i="11" s="1"/>
  <c r="AP59" i="11"/>
  <c r="AN59" i="11"/>
  <c r="F59" i="11"/>
  <c r="AR58" i="11"/>
  <c r="AT58" i="11" s="1"/>
  <c r="AP58" i="11"/>
  <c r="AN58" i="11"/>
  <c r="F58" i="11"/>
  <c r="AR57" i="11"/>
  <c r="AT57" i="11" s="1"/>
  <c r="AP57" i="11"/>
  <c r="AN57" i="11"/>
  <c r="F57" i="11"/>
  <c r="AR56" i="11"/>
  <c r="AT56" i="11" s="1"/>
  <c r="AP56" i="11"/>
  <c r="AN56" i="11"/>
  <c r="F56" i="11"/>
  <c r="AR55" i="11"/>
  <c r="AT55" i="11" s="1"/>
  <c r="AP55" i="11"/>
  <c r="AN55" i="11"/>
  <c r="F55" i="11"/>
  <c r="AR54" i="11"/>
  <c r="AT54" i="11" s="1"/>
  <c r="AP54" i="11"/>
  <c r="AN54" i="11"/>
  <c r="F54" i="11"/>
  <c r="AR53" i="11"/>
  <c r="AT53" i="11" s="1"/>
  <c r="AP53" i="11"/>
  <c r="AN53" i="11"/>
  <c r="F53" i="11"/>
  <c r="H31" i="25"/>
  <c r="H32" i="25"/>
  <c r="H33" i="25"/>
  <c r="H34" i="25"/>
  <c r="O31" i="25"/>
  <c r="J35" i="25"/>
  <c r="J36" i="25"/>
  <c r="J37" i="25"/>
  <c r="X37" i="25" s="1"/>
  <c r="J38" i="25"/>
  <c r="X38" i="25" s="1"/>
  <c r="L40" i="25"/>
  <c r="Q40" i="25"/>
  <c r="R40" i="25"/>
  <c r="U40" i="25"/>
  <c r="W40" i="25"/>
  <c r="W43" i="25" s="1"/>
  <c r="Y40" i="25"/>
  <c r="AA40" i="25"/>
  <c r="AA43" i="25" s="1"/>
  <c r="AC40" i="25"/>
  <c r="AE40" i="25"/>
  <c r="AE43" i="25" s="1"/>
  <c r="AP20" i="11"/>
  <c r="AR20" i="11"/>
  <c r="AT20" i="11" s="1"/>
  <c r="AR21" i="11"/>
  <c r="AT21" i="11" s="1"/>
  <c r="K69" i="25"/>
  <c r="L69" i="25"/>
  <c r="M69" i="25"/>
  <c r="O69" i="25"/>
  <c r="Q69" i="25"/>
  <c r="R69" i="25"/>
  <c r="U69" i="25"/>
  <c r="W69" i="25"/>
  <c r="Y69" i="25"/>
  <c r="AA69" i="25"/>
  <c r="AA149" i="25" s="1"/>
  <c r="AA150" i="25" s="1"/>
  <c r="AC69" i="25"/>
  <c r="AE69" i="25"/>
  <c r="AE149" i="25" s="1"/>
  <c r="AE150" i="25" s="1"/>
  <c r="G69" i="25"/>
  <c r="AI68" i="25"/>
  <c r="AG68" i="25"/>
  <c r="I68" i="25"/>
  <c r="AD68" i="25" s="1"/>
  <c r="H68" i="25"/>
  <c r="AH68" i="25" s="1"/>
  <c r="AI67" i="25"/>
  <c r="AG67" i="25"/>
  <c r="I67" i="25"/>
  <c r="AD67" i="25" s="1"/>
  <c r="H67" i="25"/>
  <c r="AI66" i="25"/>
  <c r="AG66" i="25"/>
  <c r="I66" i="25"/>
  <c r="N66" i="25" s="1"/>
  <c r="H66" i="25"/>
  <c r="AJ66" i="25" s="1"/>
  <c r="AI65" i="25"/>
  <c r="AG65" i="25"/>
  <c r="I65" i="25"/>
  <c r="AD65" i="25" s="1"/>
  <c r="H65" i="25"/>
  <c r="AJ65" i="25" s="1"/>
  <c r="AI64" i="25"/>
  <c r="AG64" i="25"/>
  <c r="I64" i="25"/>
  <c r="N64" i="25" s="1"/>
  <c r="H64" i="25"/>
  <c r="AI63" i="25"/>
  <c r="AG63" i="25"/>
  <c r="I63" i="25"/>
  <c r="N63" i="25" s="1"/>
  <c r="H63" i="25"/>
  <c r="AJ63" i="25" s="1"/>
  <c r="AI62" i="25"/>
  <c r="AG62" i="25"/>
  <c r="I62" i="25"/>
  <c r="AD62" i="25" s="1"/>
  <c r="H62" i="25"/>
  <c r="AJ62" i="25" s="1"/>
  <c r="AI61" i="25"/>
  <c r="AG61" i="25"/>
  <c r="I61" i="25"/>
  <c r="Z61" i="25" s="1"/>
  <c r="H61" i="25"/>
  <c r="AI60" i="25"/>
  <c r="AG60" i="25"/>
  <c r="I60" i="25"/>
  <c r="N60" i="25" s="1"/>
  <c r="H60" i="25"/>
  <c r="AJ60" i="25" s="1"/>
  <c r="AI59" i="25"/>
  <c r="AG59" i="25"/>
  <c r="I59" i="25"/>
  <c r="AD59" i="25" s="1"/>
  <c r="H59" i="25"/>
  <c r="AH59" i="25" s="1"/>
  <c r="AI58" i="25"/>
  <c r="AG58" i="25"/>
  <c r="I58" i="25"/>
  <c r="Z58" i="25" s="1"/>
  <c r="H58" i="25"/>
  <c r="AI57" i="25"/>
  <c r="AG57" i="25"/>
  <c r="I57" i="25"/>
  <c r="N57" i="25" s="1"/>
  <c r="H57" i="25"/>
  <c r="AJ57" i="25" s="1"/>
  <c r="AI56" i="25"/>
  <c r="AG56" i="25"/>
  <c r="I56" i="25"/>
  <c r="N56" i="25" s="1"/>
  <c r="H56" i="25"/>
  <c r="AJ56" i="25" s="1"/>
  <c r="AI35" i="25"/>
  <c r="AI19" i="25"/>
  <c r="AI37" i="25"/>
  <c r="AI38" i="25"/>
  <c r="AI31" i="25"/>
  <c r="AI32" i="25"/>
  <c r="AI33" i="25"/>
  <c r="AI34" i="25"/>
  <c r="AG35" i="25"/>
  <c r="AG19" i="25"/>
  <c r="AG37" i="25"/>
  <c r="AG38" i="25"/>
  <c r="AG31" i="25"/>
  <c r="AG32" i="25"/>
  <c r="AG33" i="25"/>
  <c r="AG34" i="25"/>
  <c r="Z35" i="25"/>
  <c r="V35" i="25"/>
  <c r="T35" i="25"/>
  <c r="S35" i="25"/>
  <c r="S19" i="25"/>
  <c r="N35" i="25"/>
  <c r="I37" i="25"/>
  <c r="N37" i="25" s="1"/>
  <c r="I38" i="25"/>
  <c r="N38" i="25" s="1"/>
  <c r="B37" i="25"/>
  <c r="S37" i="25" s="1"/>
  <c r="B38" i="25"/>
  <c r="S38" i="25" s="1"/>
  <c r="B32" i="25"/>
  <c r="S32" i="25" s="1"/>
  <c r="B33" i="25"/>
  <c r="S33" i="25" s="1"/>
  <c r="B34" i="25"/>
  <c r="S34" i="25" s="1"/>
  <c r="I31" i="25"/>
  <c r="Z31" i="25" s="1"/>
  <c r="J31" i="25"/>
  <c r="X31" i="25" s="1"/>
  <c r="B36" i="25"/>
  <c r="B31" i="25"/>
  <c r="S31" i="25" s="1"/>
  <c r="AH31" i="25"/>
  <c r="AJ31" i="25"/>
  <c r="X20" i="11"/>
  <c r="Z20" i="11" s="1"/>
  <c r="V20" i="11"/>
  <c r="T20" i="11"/>
  <c r="G7" i="25"/>
  <c r="AI7" i="25" s="1"/>
  <c r="G8" i="25"/>
  <c r="AI8" i="25" s="1"/>
  <c r="G9" i="25"/>
  <c r="AG9" i="25" s="1"/>
  <c r="G10" i="25"/>
  <c r="AI10" i="25" s="1"/>
  <c r="G11" i="25"/>
  <c r="AI11" i="25" s="1"/>
  <c r="G12" i="25"/>
  <c r="AI12" i="25" s="1"/>
  <c r="G36" i="25"/>
  <c r="AI36" i="25" s="1"/>
  <c r="G13" i="25"/>
  <c r="AG13" i="25" s="1"/>
  <c r="G14" i="25"/>
  <c r="AI14" i="25" s="1"/>
  <c r="G15" i="25"/>
  <c r="AG15" i="25" s="1"/>
  <c r="G16" i="25"/>
  <c r="AG16" i="25" s="1"/>
  <c r="G17" i="25"/>
  <c r="AG17" i="25" s="1"/>
  <c r="G18" i="25"/>
  <c r="AG18" i="25" s="1"/>
  <c r="G20" i="25"/>
  <c r="AI20" i="25" s="1"/>
  <c r="G21" i="25"/>
  <c r="AI21" i="25" s="1"/>
  <c r="G22" i="25"/>
  <c r="AI22" i="25" s="1"/>
  <c r="G23" i="25"/>
  <c r="AI23" i="25" s="1"/>
  <c r="G24" i="25"/>
  <c r="AI24" i="25" s="1"/>
  <c r="G26" i="25"/>
  <c r="AI26" i="25" s="1"/>
  <c r="G25" i="25"/>
  <c r="AI25" i="25" s="1"/>
  <c r="G27" i="25"/>
  <c r="AG27" i="25" s="1"/>
  <c r="G28" i="25"/>
  <c r="AG28" i="25" s="1"/>
  <c r="G29" i="25"/>
  <c r="AG29" i="25" s="1"/>
  <c r="G30" i="25"/>
  <c r="AI30" i="25" s="1"/>
  <c r="AJ106" i="25" l="1"/>
  <c r="W163" i="25"/>
  <c r="W149" i="25"/>
  <c r="W150" i="25" s="1"/>
  <c r="O71" i="25"/>
  <c r="AH130" i="25"/>
  <c r="AH106" i="25"/>
  <c r="AE209" i="25"/>
  <c r="AE210" i="25" s="1"/>
  <c r="AJ105" i="25"/>
  <c r="AH104" i="25"/>
  <c r="AH129" i="25"/>
  <c r="AH105" i="25"/>
  <c r="AH112" i="25"/>
  <c r="T106" i="25"/>
  <c r="AA209" i="25"/>
  <c r="AA210" i="25" s="1"/>
  <c r="AA163" i="25"/>
  <c r="W209" i="25"/>
  <c r="W210" i="25" s="1"/>
  <c r="T87" i="25"/>
  <c r="AJ91" i="25"/>
  <c r="AJ111" i="25"/>
  <c r="AJ100" i="25"/>
  <c r="T117" i="25"/>
  <c r="AH111" i="25"/>
  <c r="AH97" i="25"/>
  <c r="AK196" i="25"/>
  <c r="AK198" i="25" s="1"/>
  <c r="AL196" i="25"/>
  <c r="AL198" i="25" s="1"/>
  <c r="AO205" i="25" s="1"/>
  <c r="T112" i="25"/>
  <c r="AH116" i="25"/>
  <c r="T118" i="25"/>
  <c r="AH94" i="25"/>
  <c r="AJ92" i="25"/>
  <c r="T94" i="25"/>
  <c r="AH109" i="25"/>
  <c r="AH128" i="25"/>
  <c r="AJ116" i="25"/>
  <c r="T90" i="25"/>
  <c r="V127" i="25"/>
  <c r="T135" i="25"/>
  <c r="T130" i="25"/>
  <c r="T129" i="25"/>
  <c r="T128" i="25"/>
  <c r="AH113" i="25"/>
  <c r="AJ118" i="25"/>
  <c r="AJ117" i="25"/>
  <c r="T91" i="25"/>
  <c r="AJ104" i="25"/>
  <c r="AK35" i="25"/>
  <c r="AH127" i="25"/>
  <c r="AJ112" i="25"/>
  <c r="AI136" i="25"/>
  <c r="AI138" i="25" s="1"/>
  <c r="AJ89" i="25"/>
  <c r="O89" i="25"/>
  <c r="P89" i="25" s="1"/>
  <c r="AJ133" i="25"/>
  <c r="O133" i="25"/>
  <c r="P133" i="25" s="1"/>
  <c r="AJ122" i="25"/>
  <c r="AJ107" i="25"/>
  <c r="AH95" i="25"/>
  <c r="O95" i="25"/>
  <c r="AH86" i="25"/>
  <c r="AH90" i="25"/>
  <c r="AJ93" i="25"/>
  <c r="O93" i="25"/>
  <c r="P93" i="25" s="1"/>
  <c r="AJ124" i="25"/>
  <c r="AJ123" i="25"/>
  <c r="AJ98" i="25"/>
  <c r="AH85" i="25"/>
  <c r="AH122" i="25"/>
  <c r="AH107" i="25"/>
  <c r="AJ99" i="25"/>
  <c r="AJ83" i="25"/>
  <c r="O83" i="25"/>
  <c r="AH89" i="25"/>
  <c r="AH124" i="25"/>
  <c r="AH123" i="25"/>
  <c r="AH98" i="25"/>
  <c r="AH84" i="25"/>
  <c r="AJ85" i="25"/>
  <c r="AH92" i="25"/>
  <c r="O92" i="25"/>
  <c r="P92" i="25" s="1"/>
  <c r="AJ103" i="25"/>
  <c r="O103" i="25"/>
  <c r="P103" i="25" s="1"/>
  <c r="AH100" i="25"/>
  <c r="AH96" i="25"/>
  <c r="O96" i="25"/>
  <c r="P96" i="25" s="1"/>
  <c r="AL35" i="25"/>
  <c r="W71" i="25"/>
  <c r="AJ82" i="25"/>
  <c r="H136" i="25"/>
  <c r="AH131" i="25"/>
  <c r="O131" i="25"/>
  <c r="P131" i="25" s="1"/>
  <c r="T123" i="25"/>
  <c r="AH101" i="25"/>
  <c r="T99" i="25"/>
  <c r="AJ135" i="25"/>
  <c r="AJ134" i="25"/>
  <c r="AJ121" i="25"/>
  <c r="O121" i="25"/>
  <c r="P121" i="25" s="1"/>
  <c r="AJ110" i="25"/>
  <c r="AG136" i="25"/>
  <c r="AG138" i="25" s="1"/>
  <c r="T84" i="25"/>
  <c r="AJ115" i="25"/>
  <c r="O115" i="25"/>
  <c r="AJ113" i="25"/>
  <c r="AH110" i="25"/>
  <c r="AF95" i="25"/>
  <c r="P95" i="25"/>
  <c r="AF89" i="25"/>
  <c r="AF112" i="25"/>
  <c r="P112" i="25"/>
  <c r="AB96" i="25"/>
  <c r="AF93" i="25"/>
  <c r="X131" i="25"/>
  <c r="AF83" i="25"/>
  <c r="Z82" i="25"/>
  <c r="I136" i="25"/>
  <c r="I138" i="25" s="1"/>
  <c r="AF88" i="25"/>
  <c r="P88" i="25"/>
  <c r="X82" i="25"/>
  <c r="J136" i="25"/>
  <c r="AF92" i="25"/>
  <c r="AB106" i="25"/>
  <c r="P106" i="25"/>
  <c r="AB123" i="25"/>
  <c r="P123" i="25"/>
  <c r="AB87" i="25"/>
  <c r="P87" i="25"/>
  <c r="X95" i="25"/>
  <c r="AD82" i="25"/>
  <c r="AD94" i="25"/>
  <c r="Z94" i="25"/>
  <c r="AF108" i="25"/>
  <c r="Z106" i="25"/>
  <c r="AF96" i="25"/>
  <c r="AB113" i="25"/>
  <c r="AB111" i="25"/>
  <c r="AB124" i="25"/>
  <c r="N126" i="25"/>
  <c r="AB95" i="25"/>
  <c r="X113" i="25"/>
  <c r="AD112" i="25"/>
  <c r="AB119" i="25"/>
  <c r="AD118" i="25"/>
  <c r="N114" i="25"/>
  <c r="AB112" i="25"/>
  <c r="AB118" i="25"/>
  <c r="X112" i="25"/>
  <c r="AD130" i="25"/>
  <c r="AF125" i="25"/>
  <c r="V120" i="25"/>
  <c r="N91" i="25"/>
  <c r="AB130" i="25"/>
  <c r="Z126" i="25"/>
  <c r="X124" i="25"/>
  <c r="AD122" i="25"/>
  <c r="X101" i="25"/>
  <c r="AD100" i="25"/>
  <c r="AB132" i="25"/>
  <c r="AD128" i="25"/>
  <c r="V122" i="25"/>
  <c r="AF99" i="25"/>
  <c r="X99" i="25"/>
  <c r="V96" i="25"/>
  <c r="AB135" i="25"/>
  <c r="Z133" i="25"/>
  <c r="N130" i="25"/>
  <c r="AD98" i="25"/>
  <c r="N100" i="25"/>
  <c r="AD114" i="25"/>
  <c r="V91" i="25"/>
  <c r="V133" i="25"/>
  <c r="Z132" i="25"/>
  <c r="AF131" i="25"/>
  <c r="V126" i="25"/>
  <c r="AB125" i="25"/>
  <c r="X119" i="25"/>
  <c r="Z105" i="25"/>
  <c r="AF102" i="25"/>
  <c r="Z98" i="25"/>
  <c r="X91" i="25"/>
  <c r="X92" i="25"/>
  <c r="V132" i="25"/>
  <c r="AB131" i="25"/>
  <c r="AD124" i="25"/>
  <c r="N121" i="25"/>
  <c r="AD104" i="25"/>
  <c r="V98" i="25"/>
  <c r="Z91" i="25"/>
  <c r="N120" i="25"/>
  <c r="X118" i="25"/>
  <c r="AF111" i="25"/>
  <c r="N106" i="25"/>
  <c r="V104" i="25"/>
  <c r="Z103" i="25"/>
  <c r="V102" i="25"/>
  <c r="AB101" i="25"/>
  <c r="Z97" i="25"/>
  <c r="N132" i="25"/>
  <c r="X130" i="25"/>
  <c r="Z117" i="25"/>
  <c r="N112" i="25"/>
  <c r="Z111" i="25"/>
  <c r="AB100" i="25"/>
  <c r="AB94" i="25"/>
  <c r="S85" i="25"/>
  <c r="N87" i="25"/>
  <c r="Z123" i="25"/>
  <c r="AD116" i="25"/>
  <c r="AF114" i="25"/>
  <c r="AD110" i="25"/>
  <c r="Z109" i="25"/>
  <c r="V108" i="25"/>
  <c r="N104" i="25"/>
  <c r="N102" i="25"/>
  <c r="Z100" i="25"/>
  <c r="N97" i="25"/>
  <c r="AD86" i="25"/>
  <c r="Z129" i="25"/>
  <c r="X123" i="25"/>
  <c r="N118" i="25"/>
  <c r="Z116" i="25"/>
  <c r="Z115" i="25"/>
  <c r="V110" i="25"/>
  <c r="AB107" i="25"/>
  <c r="X100" i="25"/>
  <c r="N96" i="25"/>
  <c r="X94" i="25"/>
  <c r="X87" i="25"/>
  <c r="Z135" i="25"/>
  <c r="X129" i="25"/>
  <c r="N124" i="25"/>
  <c r="V116" i="25"/>
  <c r="V115" i="25"/>
  <c r="X107" i="25"/>
  <c r="Z87" i="25"/>
  <c r="X135" i="25"/>
  <c r="Z122" i="25"/>
  <c r="V114" i="25"/>
  <c r="N108" i="25"/>
  <c r="AD106" i="25"/>
  <c r="V83" i="25"/>
  <c r="AD134" i="25"/>
  <c r="V128" i="25"/>
  <c r="AD127" i="25"/>
  <c r="AF126" i="25"/>
  <c r="Z121" i="25"/>
  <c r="AF120" i="25"/>
  <c r="Z99" i="25"/>
  <c r="V134" i="25"/>
  <c r="AD133" i="25"/>
  <c r="Z127" i="25"/>
  <c r="V121" i="25"/>
  <c r="X106" i="25"/>
  <c r="N94" i="25"/>
  <c r="N134" i="25"/>
  <c r="Z131" i="25"/>
  <c r="V130" i="25"/>
  <c r="N128" i="25"/>
  <c r="Z125" i="25"/>
  <c r="V124" i="25"/>
  <c r="AD120" i="25"/>
  <c r="Z119" i="25"/>
  <c r="V118" i="25"/>
  <c r="Z113" i="25"/>
  <c r="V112" i="25"/>
  <c r="N110" i="25"/>
  <c r="AD108" i="25"/>
  <c r="Z107" i="25"/>
  <c r="AD102" i="25"/>
  <c r="Z101" i="25"/>
  <c r="AD96" i="25"/>
  <c r="Z95" i="25"/>
  <c r="AF121" i="25"/>
  <c r="AF115" i="25"/>
  <c r="AF109" i="25"/>
  <c r="AF97" i="25"/>
  <c r="N135" i="25"/>
  <c r="V131" i="25"/>
  <c r="N129" i="25"/>
  <c r="V125" i="25"/>
  <c r="N123" i="25"/>
  <c r="V119" i="25"/>
  <c r="N117" i="25"/>
  <c r="AD115" i="25"/>
  <c r="V113" i="25"/>
  <c r="N111" i="25"/>
  <c r="AD109" i="25"/>
  <c r="V107" i="25"/>
  <c r="N105" i="25"/>
  <c r="AD103" i="25"/>
  <c r="V101" i="25"/>
  <c r="N99" i="25"/>
  <c r="AD97" i="25"/>
  <c r="V95" i="25"/>
  <c r="AF127" i="25"/>
  <c r="AF103" i="25"/>
  <c r="AF134" i="25"/>
  <c r="AB133" i="25"/>
  <c r="X132" i="25"/>
  <c r="T131" i="25"/>
  <c r="AF128" i="25"/>
  <c r="AB127" i="25"/>
  <c r="X126" i="25"/>
  <c r="T125" i="25"/>
  <c r="AF122" i="25"/>
  <c r="AB121" i="25"/>
  <c r="X120" i="25"/>
  <c r="T119" i="25"/>
  <c r="AF116" i="25"/>
  <c r="AB115" i="25"/>
  <c r="X114" i="25"/>
  <c r="AF110" i="25"/>
  <c r="AB109" i="25"/>
  <c r="X108" i="25"/>
  <c r="AF104" i="25"/>
  <c r="AB103" i="25"/>
  <c r="X102" i="25"/>
  <c r="T101" i="25"/>
  <c r="AF98" i="25"/>
  <c r="AB97" i="25"/>
  <c r="X96" i="25"/>
  <c r="T95" i="25"/>
  <c r="AB134" i="25"/>
  <c r="X133" i="25"/>
  <c r="T132" i="25"/>
  <c r="AJ131" i="25"/>
  <c r="AF129" i="25"/>
  <c r="AB128" i="25"/>
  <c r="X127" i="25"/>
  <c r="T126" i="25"/>
  <c r="AJ125" i="25"/>
  <c r="AF123" i="25"/>
  <c r="AB122" i="25"/>
  <c r="X121" i="25"/>
  <c r="T120" i="25"/>
  <c r="AJ119" i="25"/>
  <c r="AF117" i="25"/>
  <c r="AB116" i="25"/>
  <c r="X115" i="25"/>
  <c r="T114" i="25"/>
  <c r="AB110" i="25"/>
  <c r="X109" i="25"/>
  <c r="T108" i="25"/>
  <c r="AF105" i="25"/>
  <c r="AB104" i="25"/>
  <c r="X103" i="25"/>
  <c r="T102" i="25"/>
  <c r="AB98" i="25"/>
  <c r="X97" i="25"/>
  <c r="T96" i="25"/>
  <c r="AJ95" i="25"/>
  <c r="AD135" i="25"/>
  <c r="N131" i="25"/>
  <c r="AD129" i="25"/>
  <c r="N125" i="25"/>
  <c r="AD123" i="25"/>
  <c r="N119" i="25"/>
  <c r="AD117" i="25"/>
  <c r="N113" i="25"/>
  <c r="AD111" i="25"/>
  <c r="V109" i="25"/>
  <c r="N107" i="25"/>
  <c r="AD105" i="25"/>
  <c r="V103" i="25"/>
  <c r="N101" i="25"/>
  <c r="AD99" i="25"/>
  <c r="N95" i="25"/>
  <c r="AF133" i="25"/>
  <c r="X134" i="25"/>
  <c r="T133" i="25"/>
  <c r="AJ132" i="25"/>
  <c r="X128" i="25"/>
  <c r="T127" i="25"/>
  <c r="AJ126" i="25"/>
  <c r="X122" i="25"/>
  <c r="T121" i="25"/>
  <c r="AJ120" i="25"/>
  <c r="AB117" i="25"/>
  <c r="X116" i="25"/>
  <c r="T115" i="25"/>
  <c r="AJ114" i="25"/>
  <c r="X110" i="25"/>
  <c r="T109" i="25"/>
  <c r="AJ108" i="25"/>
  <c r="AF106" i="25"/>
  <c r="AB105" i="25"/>
  <c r="X104" i="25"/>
  <c r="T103" i="25"/>
  <c r="AJ102" i="25"/>
  <c r="X98" i="25"/>
  <c r="T97" i="25"/>
  <c r="AJ96" i="25"/>
  <c r="AF82" i="25"/>
  <c r="X83" i="25"/>
  <c r="N85" i="25"/>
  <c r="S87" i="25"/>
  <c r="Z84" i="25"/>
  <c r="V87" i="25"/>
  <c r="AB91" i="25"/>
  <c r="S92" i="25"/>
  <c r="Z85" i="25"/>
  <c r="X88" i="25"/>
  <c r="Z92" i="25"/>
  <c r="AB85" i="25"/>
  <c r="N86" i="25"/>
  <c r="AF87" i="25"/>
  <c r="AB88" i="25"/>
  <c r="S89" i="25"/>
  <c r="N90" i="25"/>
  <c r="AB92" i="25"/>
  <c r="N82" i="25"/>
  <c r="S93" i="25"/>
  <c r="T86" i="25"/>
  <c r="V90" i="25"/>
  <c r="T82" i="25"/>
  <c r="V86" i="25"/>
  <c r="Z90" i="25"/>
  <c r="V82" i="25"/>
  <c r="AB86" i="25"/>
  <c r="Z83" i="25"/>
  <c r="AB84" i="25"/>
  <c r="AD85" i="25"/>
  <c r="AF86" i="25"/>
  <c r="AH88" i="25"/>
  <c r="N89" i="25"/>
  <c r="S91" i="25"/>
  <c r="V93" i="25"/>
  <c r="AB83" i="25"/>
  <c r="AD84" i="25"/>
  <c r="AF85" i="25"/>
  <c r="AH87" i="25"/>
  <c r="N88" i="25"/>
  <c r="S90" i="25"/>
  <c r="V92" i="25"/>
  <c r="X93" i="25"/>
  <c r="AD83" i="25"/>
  <c r="AF84" i="25"/>
  <c r="AJ88" i="25"/>
  <c r="Z93" i="25"/>
  <c r="AJ87" i="25"/>
  <c r="AB93" i="25"/>
  <c r="T88" i="25"/>
  <c r="V89" i="25"/>
  <c r="X90" i="25"/>
  <c r="AD93" i="25"/>
  <c r="AH83" i="25"/>
  <c r="N84" i="25"/>
  <c r="V88" i="25"/>
  <c r="X89" i="25"/>
  <c r="AD92" i="25"/>
  <c r="AH82" i="25"/>
  <c r="Z89" i="25"/>
  <c r="AB90" i="25"/>
  <c r="S84" i="25"/>
  <c r="Z88" i="25"/>
  <c r="AB89" i="25"/>
  <c r="AH93" i="25"/>
  <c r="S83" i="25"/>
  <c r="AU53" i="11"/>
  <c r="AU104" i="11"/>
  <c r="AU99" i="11"/>
  <c r="AU20" i="11"/>
  <c r="AU55" i="11"/>
  <c r="AU67" i="11"/>
  <c r="AU54" i="11"/>
  <c r="AU66" i="11"/>
  <c r="AU78" i="11"/>
  <c r="AU100" i="11"/>
  <c r="AU70" i="11"/>
  <c r="AU94" i="11"/>
  <c r="AU68" i="11"/>
  <c r="AU71" i="11"/>
  <c r="AU81" i="11"/>
  <c r="AU91" i="11"/>
  <c r="AU64" i="11"/>
  <c r="AU76" i="11"/>
  <c r="AU83" i="11"/>
  <c r="AU95" i="11"/>
  <c r="AU102" i="11"/>
  <c r="AU98" i="11"/>
  <c r="AU60" i="11"/>
  <c r="AU61" i="11"/>
  <c r="AU106" i="11"/>
  <c r="AU97" i="11"/>
  <c r="AU82" i="11"/>
  <c r="AU59" i="11"/>
  <c r="AU85" i="11"/>
  <c r="AU58" i="11"/>
  <c r="AU65" i="11"/>
  <c r="AU88" i="11"/>
  <c r="AU72" i="11"/>
  <c r="AU96" i="11"/>
  <c r="AU79" i="11"/>
  <c r="AU93" i="11"/>
  <c r="AU62" i="11"/>
  <c r="AU69" i="11"/>
  <c r="AU86" i="11"/>
  <c r="AU56" i="11"/>
  <c r="AU103" i="11"/>
  <c r="AU105" i="11"/>
  <c r="AU80" i="11"/>
  <c r="AU63" i="11"/>
  <c r="AU75" i="11"/>
  <c r="AU87" i="11"/>
  <c r="AU73" i="11"/>
  <c r="AU89" i="11"/>
  <c r="AU57" i="11"/>
  <c r="AU90" i="11"/>
  <c r="AU84" i="11"/>
  <c r="AU101" i="11"/>
  <c r="AU92" i="11"/>
  <c r="AU77" i="11"/>
  <c r="AU74" i="11"/>
  <c r="P31" i="25"/>
  <c r="AH62" i="25"/>
  <c r="AJ59" i="25"/>
  <c r="Z64" i="25"/>
  <c r="AH66" i="25"/>
  <c r="V57" i="25"/>
  <c r="V63" i="25"/>
  <c r="AG69" i="25"/>
  <c r="V62" i="25"/>
  <c r="AI69" i="25"/>
  <c r="AH63" i="25"/>
  <c r="N58" i="25"/>
  <c r="V58" i="25"/>
  <c r="AD61" i="25"/>
  <c r="V65" i="25"/>
  <c r="V64" i="25"/>
  <c r="AH60" i="25"/>
  <c r="Z62" i="25"/>
  <c r="N65" i="25"/>
  <c r="AJ68" i="25"/>
  <c r="V56" i="25"/>
  <c r="N59" i="25"/>
  <c r="N67" i="25"/>
  <c r="H69" i="25"/>
  <c r="AG7" i="25"/>
  <c r="AD64" i="25"/>
  <c r="I69" i="25"/>
  <c r="I71" i="25" s="1"/>
  <c r="Z65" i="25"/>
  <c r="N68" i="25"/>
  <c r="N61" i="25"/>
  <c r="V66" i="25"/>
  <c r="V67" i="25"/>
  <c r="AH56" i="25"/>
  <c r="AD58" i="25"/>
  <c r="V59" i="25"/>
  <c r="N62" i="25"/>
  <c r="Z67" i="25"/>
  <c r="AH57" i="25"/>
  <c r="Z59" i="25"/>
  <c r="AH65" i="25"/>
  <c r="V68" i="25"/>
  <c r="V60" i="25"/>
  <c r="V61" i="25"/>
  <c r="Z68" i="25"/>
  <c r="Z57" i="25"/>
  <c r="Z60" i="25"/>
  <c r="Z63" i="25"/>
  <c r="Z66" i="25"/>
  <c r="AH58" i="25"/>
  <c r="AH61" i="25"/>
  <c r="AH64" i="25"/>
  <c r="AH67" i="25"/>
  <c r="AD57" i="25"/>
  <c r="AD60" i="25"/>
  <c r="AD63" i="25"/>
  <c r="AD66" i="25"/>
  <c r="AJ58" i="25"/>
  <c r="AJ61" i="25"/>
  <c r="AJ64" i="25"/>
  <c r="AJ67" i="25"/>
  <c r="Z56" i="25"/>
  <c r="AD56" i="25"/>
  <c r="AI29" i="25"/>
  <c r="AI28" i="25"/>
  <c r="AG26" i="25"/>
  <c r="AI18" i="25"/>
  <c r="Z37" i="25"/>
  <c r="AG14" i="25"/>
  <c r="S36" i="25"/>
  <c r="AI9" i="25"/>
  <c r="AG8" i="25"/>
  <c r="AG24" i="25"/>
  <c r="AG36" i="25"/>
  <c r="AI27" i="25"/>
  <c r="AI17" i="25"/>
  <c r="AG23" i="25"/>
  <c r="AG12" i="25"/>
  <c r="AI16" i="25"/>
  <c r="AG22" i="25"/>
  <c r="AG11" i="25"/>
  <c r="AI15" i="25"/>
  <c r="AG21" i="25"/>
  <c r="AG10" i="25"/>
  <c r="AG25" i="25"/>
  <c r="AG30" i="25"/>
  <c r="AG20" i="25"/>
  <c r="AI13" i="25"/>
  <c r="T38" i="25"/>
  <c r="AL38" i="25" s="1"/>
  <c r="Z38" i="25"/>
  <c r="T31" i="25"/>
  <c r="T37" i="25"/>
  <c r="AL37" i="25" s="1"/>
  <c r="V37" i="25"/>
  <c r="V38" i="25"/>
  <c r="N31" i="25"/>
  <c r="V31" i="25"/>
  <c r="AA20" i="11"/>
  <c r="F30" i="25"/>
  <c r="F29" i="25"/>
  <c r="F28" i="25"/>
  <c r="F27" i="25"/>
  <c r="F34" i="25"/>
  <c r="F25" i="25"/>
  <c r="F26" i="25"/>
  <c r="F24" i="25"/>
  <c r="F23" i="25"/>
  <c r="F22" i="25"/>
  <c r="F21" i="25"/>
  <c r="F20" i="25"/>
  <c r="F19" i="25"/>
  <c r="F18" i="25"/>
  <c r="F17" i="25"/>
  <c r="F16" i="25"/>
  <c r="F15" i="25"/>
  <c r="F14" i="25"/>
  <c r="F13" i="25"/>
  <c r="F36" i="25"/>
  <c r="F33" i="25"/>
  <c r="F12" i="25"/>
  <c r="F11" i="25"/>
  <c r="F10" i="25"/>
  <c r="F9" i="25"/>
  <c r="F32" i="25"/>
  <c r="F8" i="25"/>
  <c r="F7" i="25"/>
  <c r="F6" i="25"/>
  <c r="I30" i="25"/>
  <c r="Z30" i="25" s="1"/>
  <c r="I29" i="25"/>
  <c r="Z29" i="25" s="1"/>
  <c r="I28" i="25"/>
  <c r="Z28" i="25" s="1"/>
  <c r="I27" i="25"/>
  <c r="Z27" i="25" s="1"/>
  <c r="I34" i="25"/>
  <c r="Z34" i="25" s="1"/>
  <c r="I25" i="25"/>
  <c r="Z25" i="25" s="1"/>
  <c r="I26" i="25"/>
  <c r="Z26" i="25" s="1"/>
  <c r="I24" i="25"/>
  <c r="Z24" i="25" s="1"/>
  <c r="I23" i="25"/>
  <c r="Z23" i="25" s="1"/>
  <c r="I22" i="25"/>
  <c r="Z22" i="25" s="1"/>
  <c r="I21" i="25"/>
  <c r="Z21" i="25" s="1"/>
  <c r="I20" i="25"/>
  <c r="Z20" i="25" s="1"/>
  <c r="I19" i="25"/>
  <c r="Z19" i="25" s="1"/>
  <c r="I18" i="25"/>
  <c r="Z18" i="25" s="1"/>
  <c r="I17" i="25"/>
  <c r="Z17" i="25" s="1"/>
  <c r="I16" i="25"/>
  <c r="Z16" i="25" s="1"/>
  <c r="I15" i="25"/>
  <c r="Z15" i="25" s="1"/>
  <c r="I14" i="25"/>
  <c r="Z14" i="25" s="1"/>
  <c r="I13" i="25"/>
  <c r="Z13" i="25" s="1"/>
  <c r="I36" i="25"/>
  <c r="Z36" i="25" s="1"/>
  <c r="I33" i="25"/>
  <c r="Z33" i="25" s="1"/>
  <c r="I12" i="25"/>
  <c r="Z12" i="25" s="1"/>
  <c r="I11" i="25"/>
  <c r="Z11" i="25" s="1"/>
  <c r="I10" i="25"/>
  <c r="Z10" i="25" s="1"/>
  <c r="I9" i="25"/>
  <c r="Z9" i="25" s="1"/>
  <c r="I32" i="25"/>
  <c r="Z32" i="25" s="1"/>
  <c r="I8" i="25"/>
  <c r="Z8" i="25" s="1"/>
  <c r="I7" i="25"/>
  <c r="Z7" i="25" s="1"/>
  <c r="I6" i="25"/>
  <c r="I5" i="25"/>
  <c r="AE163" i="25" l="1"/>
  <c r="AK97" i="25"/>
  <c r="P115" i="25"/>
  <c r="AL115" i="25" s="1"/>
  <c r="AL91" i="25"/>
  <c r="H71" i="25"/>
  <c r="AL111" i="25"/>
  <c r="AK112" i="25"/>
  <c r="O136" i="25"/>
  <c r="AK133" i="25"/>
  <c r="J138" i="25"/>
  <c r="AO141" i="25" s="1"/>
  <c r="H138" i="25"/>
  <c r="AJ136" i="25"/>
  <c r="AH136" i="25"/>
  <c r="AL135" i="25"/>
  <c r="AK102" i="25"/>
  <c r="AK130" i="25"/>
  <c r="AL99" i="25"/>
  <c r="P83" i="25"/>
  <c r="AL83" i="25" s="1"/>
  <c r="T136" i="25"/>
  <c r="S136" i="25"/>
  <c r="S138" i="25" s="1"/>
  <c r="AB136" i="25"/>
  <c r="AL100" i="25"/>
  <c r="AL113" i="25"/>
  <c r="AK126" i="25"/>
  <c r="V136" i="25"/>
  <c r="V138" i="25" s="1"/>
  <c r="AF136" i="25"/>
  <c r="AD136" i="25"/>
  <c r="AD138" i="25" s="1"/>
  <c r="X136" i="25"/>
  <c r="Z136" i="25"/>
  <c r="Z138" i="25" s="1"/>
  <c r="AK82" i="25"/>
  <c r="N136" i="25"/>
  <c r="N138" i="25" s="1"/>
  <c r="AK94" i="25"/>
  <c r="AL107" i="25"/>
  <c r="AL130" i="25"/>
  <c r="AL86" i="25"/>
  <c r="AL95" i="25"/>
  <c r="AK116" i="25"/>
  <c r="AK107" i="25"/>
  <c r="AL127" i="25"/>
  <c r="AL106" i="25"/>
  <c r="AL89" i="25"/>
  <c r="AK121" i="25"/>
  <c r="AK104" i="25"/>
  <c r="AK100" i="25"/>
  <c r="AL96" i="25"/>
  <c r="AL124" i="25"/>
  <c r="AL84" i="25"/>
  <c r="AL119" i="25"/>
  <c r="AK114" i="25"/>
  <c r="AL120" i="25"/>
  <c r="AL118" i="25"/>
  <c r="AK103" i="25"/>
  <c r="AL104" i="25"/>
  <c r="AL129" i="25"/>
  <c r="AK85" i="25"/>
  <c r="AL92" i="25"/>
  <c r="AL105" i="25"/>
  <c r="AL108" i="25"/>
  <c r="AL87" i="25"/>
  <c r="AL131" i="25"/>
  <c r="AL101" i="25"/>
  <c r="AK122" i="25"/>
  <c r="AL132" i="25"/>
  <c r="AL112" i="25"/>
  <c r="AL123" i="25"/>
  <c r="AL125" i="25"/>
  <c r="AL128" i="25"/>
  <c r="AL94" i="25"/>
  <c r="AK118" i="25"/>
  <c r="AL85" i="25"/>
  <c r="AK111" i="25"/>
  <c r="AK108" i="25"/>
  <c r="AL116" i="25"/>
  <c r="AK90" i="25"/>
  <c r="AL117" i="25"/>
  <c r="AK124" i="25"/>
  <c r="AK132" i="25"/>
  <c r="AK101" i="25"/>
  <c r="AK131" i="25"/>
  <c r="AK96" i="25"/>
  <c r="AK127" i="25"/>
  <c r="AL126" i="25"/>
  <c r="AL102" i="25"/>
  <c r="AK115" i="25"/>
  <c r="AK92" i="25"/>
  <c r="AK117" i="25"/>
  <c r="AK98" i="25"/>
  <c r="AL122" i="25"/>
  <c r="AK128" i="25"/>
  <c r="AL98" i="25"/>
  <c r="AK123" i="25"/>
  <c r="AK109" i="25"/>
  <c r="AL97" i="25"/>
  <c r="AK134" i="25"/>
  <c r="AK120" i="25"/>
  <c r="AK110" i="25"/>
  <c r="AK106" i="25"/>
  <c r="AK91" i="25"/>
  <c r="AL133" i="25"/>
  <c r="AK86" i="25"/>
  <c r="AL134" i="25"/>
  <c r="AL110" i="25"/>
  <c r="AL103" i="25"/>
  <c r="AL121" i="25"/>
  <c r="AL114" i="25"/>
  <c r="AL109" i="25"/>
  <c r="AK113" i="25"/>
  <c r="AK129" i="25"/>
  <c r="AK99" i="25"/>
  <c r="AK119" i="25"/>
  <c r="AK105" i="25"/>
  <c r="AK135" i="25"/>
  <c r="AK95" i="25"/>
  <c r="AK125" i="25"/>
  <c r="AL82" i="25"/>
  <c r="AK93" i="25"/>
  <c r="AK83" i="25"/>
  <c r="AL88" i="25"/>
  <c r="AK87" i="25"/>
  <c r="AL90" i="25"/>
  <c r="AK84" i="25"/>
  <c r="AK89" i="25"/>
  <c r="AL93" i="25"/>
  <c r="AK88" i="25"/>
  <c r="AL31" i="25"/>
  <c r="AK37" i="25"/>
  <c r="Z5" i="25"/>
  <c r="I40" i="25"/>
  <c r="AK38" i="25"/>
  <c r="N69" i="25"/>
  <c r="V69" i="25"/>
  <c r="AJ69" i="25"/>
  <c r="AH69" i="25"/>
  <c r="AD69" i="25"/>
  <c r="Z69" i="25"/>
  <c r="N6" i="25"/>
  <c r="Z6" i="25"/>
  <c r="AK31" i="25"/>
  <c r="V32" i="25"/>
  <c r="V9" i="25"/>
  <c r="V10" i="25"/>
  <c r="V12" i="25"/>
  <c r="V23" i="25"/>
  <c r="V36" i="25"/>
  <c r="V24" i="25"/>
  <c r="V13" i="25"/>
  <c r="V26" i="25"/>
  <c r="V29" i="25"/>
  <c r="V21" i="25"/>
  <c r="V33" i="25"/>
  <c r="V14" i="25"/>
  <c r="V25" i="25"/>
  <c r="V19" i="25"/>
  <c r="V20" i="25"/>
  <c r="V22" i="25"/>
  <c r="V34" i="25"/>
  <c r="V7" i="25"/>
  <c r="V16" i="25"/>
  <c r="V27" i="25"/>
  <c r="V18" i="25"/>
  <c r="V30" i="25"/>
  <c r="V11" i="25"/>
  <c r="V15" i="25"/>
  <c r="V8" i="25"/>
  <c r="V17" i="25"/>
  <c r="V28" i="25"/>
  <c r="N36" i="25"/>
  <c r="N24" i="25"/>
  <c r="N26" i="25"/>
  <c r="N7" i="25"/>
  <c r="N8" i="25"/>
  <c r="N17" i="25"/>
  <c r="N28" i="25"/>
  <c r="N27" i="25"/>
  <c r="N32" i="25"/>
  <c r="N18" i="25"/>
  <c r="N29" i="25"/>
  <c r="N34" i="25"/>
  <c r="N19" i="25"/>
  <c r="N30" i="25"/>
  <c r="N15" i="25"/>
  <c r="N16" i="25"/>
  <c r="N9" i="25"/>
  <c r="N10" i="25"/>
  <c r="N20" i="25"/>
  <c r="N11" i="25"/>
  <c r="N21" i="25"/>
  <c r="N25" i="25"/>
  <c r="N12" i="25"/>
  <c r="N22" i="25"/>
  <c r="N33" i="25"/>
  <c r="N23" i="25"/>
  <c r="P136" i="25" l="1"/>
  <c r="AH71" i="25"/>
  <c r="AJ71" i="25"/>
  <c r="AF138" i="25"/>
  <c r="AH138" i="25"/>
  <c r="AJ138" i="25"/>
  <c r="AB138" i="25"/>
  <c r="T138" i="25"/>
  <c r="X138" i="25"/>
  <c r="O138" i="25"/>
  <c r="AO142" i="25"/>
  <c r="AK136" i="25"/>
  <c r="AK138" i="25" s="1"/>
  <c r="AL136" i="25"/>
  <c r="Z40" i="25"/>
  <c r="F5" i="25"/>
  <c r="P138" i="25" l="1"/>
  <c r="AL138" i="25"/>
  <c r="AO145" i="25" s="1"/>
  <c r="AR51" i="11"/>
  <c r="AR50" i="11"/>
  <c r="AR49" i="11"/>
  <c r="AR48" i="11"/>
  <c r="AR47" i="11"/>
  <c r="AR46" i="11"/>
  <c r="AR45" i="11"/>
  <c r="AR44" i="11"/>
  <c r="AR43" i="11"/>
  <c r="AR42" i="11"/>
  <c r="AR41" i="11"/>
  <c r="AR40" i="11"/>
  <c r="AR39" i="11"/>
  <c r="AR28" i="11"/>
  <c r="AR29" i="11"/>
  <c r="AR30" i="11"/>
  <c r="AR31" i="11"/>
  <c r="AR36" i="11"/>
  <c r="AT36" i="11" s="1"/>
  <c r="AR35" i="11"/>
  <c r="AT35" i="11" s="1"/>
  <c r="AR37" i="11"/>
  <c r="AT37" i="11" s="1"/>
  <c r="AR10" i="11"/>
  <c r="AR11" i="11"/>
  <c r="AR12" i="11"/>
  <c r="AR14" i="11"/>
  <c r="AR15" i="11"/>
  <c r="AR16" i="11"/>
  <c r="AR17" i="11"/>
  <c r="AR18" i="11"/>
  <c r="AR19" i="11"/>
  <c r="AR22" i="11"/>
  <c r="AR23" i="11"/>
  <c r="AR24" i="11"/>
  <c r="AR25" i="11"/>
  <c r="AR26" i="11"/>
  <c r="AR27" i="11"/>
  <c r="AR5" i="11"/>
  <c r="AR6" i="11"/>
  <c r="AR7" i="11"/>
  <c r="AR8" i="11"/>
  <c r="AR4" i="11"/>
  <c r="X32" i="11"/>
  <c r="Z32" i="11" s="1"/>
  <c r="V32" i="11"/>
  <c r="X31" i="11"/>
  <c r="Z31" i="11" s="1"/>
  <c r="V31" i="11"/>
  <c r="T31" i="11"/>
  <c r="X34" i="11"/>
  <c r="Z34" i="11" s="1"/>
  <c r="V34" i="11"/>
  <c r="T34" i="11"/>
  <c r="X30" i="11"/>
  <c r="Z30" i="11" s="1"/>
  <c r="V30" i="11"/>
  <c r="T30" i="11"/>
  <c r="X29" i="11"/>
  <c r="Z29" i="11" s="1"/>
  <c r="V29" i="11"/>
  <c r="T29" i="11"/>
  <c r="X28" i="11"/>
  <c r="Z28" i="11" s="1"/>
  <c r="V28" i="11"/>
  <c r="T28" i="11"/>
  <c r="X33" i="11"/>
  <c r="Z33" i="11" s="1"/>
  <c r="V33" i="11"/>
  <c r="T33" i="11"/>
  <c r="X27" i="11"/>
  <c r="Z27" i="11" s="1"/>
  <c r="V27" i="11"/>
  <c r="T27" i="11"/>
  <c r="X26" i="11"/>
  <c r="Z26" i="11" s="1"/>
  <c r="V26" i="11"/>
  <c r="T26" i="11"/>
  <c r="X25" i="11"/>
  <c r="Z25" i="11" s="1"/>
  <c r="V25" i="11"/>
  <c r="T25" i="11"/>
  <c r="X24" i="11"/>
  <c r="Z24" i="11" s="1"/>
  <c r="V24" i="11"/>
  <c r="T24" i="11"/>
  <c r="X23" i="11"/>
  <c r="Z23" i="11" s="1"/>
  <c r="V23" i="11"/>
  <c r="T23" i="11"/>
  <c r="X22" i="11"/>
  <c r="Z22" i="11" s="1"/>
  <c r="V22" i="11"/>
  <c r="T22" i="11"/>
  <c r="X21" i="11"/>
  <c r="Z21" i="11" s="1"/>
  <c r="V21" i="11"/>
  <c r="T21" i="11"/>
  <c r="X19" i="11"/>
  <c r="Z19" i="11" s="1"/>
  <c r="V19" i="11"/>
  <c r="T19" i="11"/>
  <c r="X18" i="11"/>
  <c r="Z18" i="11" s="1"/>
  <c r="V18" i="11"/>
  <c r="T18" i="11"/>
  <c r="X17" i="11"/>
  <c r="Z17" i="11" s="1"/>
  <c r="V17" i="11"/>
  <c r="T17" i="11"/>
  <c r="X16" i="11"/>
  <c r="Z16" i="11" s="1"/>
  <c r="V16" i="11"/>
  <c r="T16" i="11"/>
  <c r="X15" i="11"/>
  <c r="Z15" i="11" s="1"/>
  <c r="V15" i="11"/>
  <c r="T15" i="11"/>
  <c r="X14" i="11"/>
  <c r="Z14" i="11" s="1"/>
  <c r="V14" i="11"/>
  <c r="T14" i="11"/>
  <c r="X13" i="11"/>
  <c r="Z13" i="11" s="1"/>
  <c r="V13" i="11"/>
  <c r="T13" i="11"/>
  <c r="X12" i="11"/>
  <c r="Z12" i="11" s="1"/>
  <c r="V12" i="11"/>
  <c r="T12" i="11"/>
  <c r="X11" i="11"/>
  <c r="Z11" i="11" s="1"/>
  <c r="V11" i="11"/>
  <c r="T11" i="11"/>
  <c r="X10" i="11"/>
  <c r="Z10" i="11" s="1"/>
  <c r="V10" i="11"/>
  <c r="T10" i="11"/>
  <c r="X9" i="11"/>
  <c r="Z9" i="11" s="1"/>
  <c r="V9" i="11"/>
  <c r="T9" i="11"/>
  <c r="X8" i="11"/>
  <c r="Z8" i="11" s="1"/>
  <c r="V8" i="11"/>
  <c r="T8" i="11"/>
  <c r="X7" i="11"/>
  <c r="Z7" i="11" s="1"/>
  <c r="V7" i="11"/>
  <c r="T7" i="11"/>
  <c r="X6" i="11"/>
  <c r="Z6" i="11" s="1"/>
  <c r="V6" i="11"/>
  <c r="T6" i="11"/>
  <c r="X5" i="11"/>
  <c r="Z5" i="11" s="1"/>
  <c r="V5" i="11"/>
  <c r="T5" i="11"/>
  <c r="X4" i="11"/>
  <c r="Z4" i="11" s="1"/>
  <c r="V4" i="11"/>
  <c r="T4" i="11"/>
  <c r="AO37" i="11"/>
  <c r="O37" i="11"/>
  <c r="F37" i="11"/>
  <c r="AO35" i="11"/>
  <c r="O35" i="11"/>
  <c r="F35" i="11"/>
  <c r="AO36" i="11"/>
  <c r="O36" i="11"/>
  <c r="F36" i="11"/>
  <c r="AA10" i="11" l="1"/>
  <c r="AA18" i="11"/>
  <c r="AA23" i="11"/>
  <c r="AA14" i="11"/>
  <c r="AA27" i="11"/>
  <c r="AA12" i="11"/>
  <c r="AA16" i="11"/>
  <c r="J19" i="25"/>
  <c r="P19" i="25" s="1"/>
  <c r="AP37" i="11"/>
  <c r="AU37" i="11" s="1"/>
  <c r="J34" i="25"/>
  <c r="X34" i="25" s="1"/>
  <c r="AP36" i="11"/>
  <c r="AU36" i="11" s="1"/>
  <c r="J32" i="25"/>
  <c r="X32" i="25" s="1"/>
  <c r="AP35" i="11"/>
  <c r="AU35" i="11" s="1"/>
  <c r="J33" i="25"/>
  <c r="X33" i="25" s="1"/>
  <c r="AA30" i="11"/>
  <c r="AA25" i="11"/>
  <c r="AA17" i="11"/>
  <c r="AA29" i="11"/>
  <c r="AA13" i="11"/>
  <c r="AA22" i="11"/>
  <c r="AA34" i="11"/>
  <c r="AA7" i="11"/>
  <c r="AA31" i="11"/>
  <c r="AA32" i="11"/>
  <c r="AA15" i="11"/>
  <c r="AA19" i="11"/>
  <c r="AA33" i="11"/>
  <c r="AA8" i="11"/>
  <c r="AA6" i="11"/>
  <c r="AA9" i="11"/>
  <c r="AA5" i="11"/>
  <c r="AA28" i="11"/>
  <c r="AA26" i="11"/>
  <c r="AA24" i="11"/>
  <c r="AA4" i="11"/>
  <c r="AA11" i="11"/>
  <c r="AA21" i="11"/>
  <c r="AI5" i="25" l="1"/>
  <c r="AJ5" i="25"/>
  <c r="AG5" i="25"/>
  <c r="AH5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O24" i="25" s="1"/>
  <c r="H26" i="25"/>
  <c r="H25" i="25"/>
  <c r="H27" i="25"/>
  <c r="H28" i="25"/>
  <c r="H29" i="25"/>
  <c r="H30" i="25"/>
  <c r="H6" i="25"/>
  <c r="O5" i="25"/>
  <c r="AH23" i="25" l="1"/>
  <c r="AH12" i="25"/>
  <c r="AJ27" i="25"/>
  <c r="AH11" i="25"/>
  <c r="AH21" i="25"/>
  <c r="AJ10" i="25"/>
  <c r="AJ6" i="25"/>
  <c r="H40" i="25"/>
  <c r="H149" i="25" s="1"/>
  <c r="H150" i="25" s="1"/>
  <c r="AJ20" i="25"/>
  <c r="AJ9" i="25"/>
  <c r="AJ30" i="25"/>
  <c r="AJ18" i="25"/>
  <c r="AJ8" i="25"/>
  <c r="AJ16" i="25"/>
  <c r="AH24" i="25"/>
  <c r="AH22" i="25"/>
  <c r="AJ29" i="25"/>
  <c r="AJ28" i="25"/>
  <c r="AH17" i="25"/>
  <c r="AJ7" i="25"/>
  <c r="AJ15" i="25"/>
  <c r="AH25" i="25"/>
  <c r="AH14" i="25"/>
  <c r="AH26" i="25"/>
  <c r="O13" i="25"/>
  <c r="AH33" i="25"/>
  <c r="T33" i="25"/>
  <c r="AJ32" i="25"/>
  <c r="T32" i="25"/>
  <c r="AJ19" i="25"/>
  <c r="T19" i="25"/>
  <c r="AJ34" i="25"/>
  <c r="T34" i="25"/>
  <c r="AH36" i="25"/>
  <c r="T36" i="25"/>
  <c r="AH7" i="25"/>
  <c r="O14" i="25"/>
  <c r="O33" i="25"/>
  <c r="P33" i="25" s="1"/>
  <c r="AH27" i="25"/>
  <c r="AJ11" i="25"/>
  <c r="AJ12" i="25"/>
  <c r="AJ33" i="25"/>
  <c r="AJ14" i="25"/>
  <c r="AH10" i="25"/>
  <c r="AJ21" i="25"/>
  <c r="AH15" i="25"/>
  <c r="AJ22" i="25"/>
  <c r="AH16" i="25"/>
  <c r="AJ23" i="25"/>
  <c r="AH20" i="25"/>
  <c r="AJ25" i="25"/>
  <c r="AH34" i="25"/>
  <c r="AH28" i="25"/>
  <c r="AH32" i="25"/>
  <c r="AH18" i="25"/>
  <c r="AH29" i="25"/>
  <c r="AJ36" i="25"/>
  <c r="AJ24" i="25"/>
  <c r="AH9" i="25"/>
  <c r="AH19" i="25"/>
  <c r="AH30" i="25"/>
  <c r="AJ13" i="25"/>
  <c r="AJ26" i="25"/>
  <c r="O32" i="25"/>
  <c r="P32" i="25" s="1"/>
  <c r="AH8" i="25"/>
  <c r="AJ17" i="25"/>
  <c r="AH13" i="25"/>
  <c r="AH6" i="25"/>
  <c r="AE71" i="25"/>
  <c r="AA71" i="25"/>
  <c r="O40" i="25" l="1"/>
  <c r="O149" i="25" s="1"/>
  <c r="H43" i="25"/>
  <c r="AJ40" i="25"/>
  <c r="AJ149" i="25" s="1"/>
  <c r="AJ150" i="25" s="1"/>
  <c r="AH40" i="25"/>
  <c r="AH149" i="25" s="1"/>
  <c r="AH150" i="25" s="1"/>
  <c r="H209" i="25" l="1"/>
  <c r="H210" i="25" s="1"/>
  <c r="H163" i="25"/>
  <c r="AJ209" i="25"/>
  <c r="AJ210" i="25" s="1"/>
  <c r="E7" i="37" s="1"/>
  <c r="O150" i="25"/>
  <c r="O43" i="25"/>
  <c r="AJ43" i="25"/>
  <c r="AJ163" i="25"/>
  <c r="AH43" i="25"/>
  <c r="N21" i="30"/>
  <c r="L21" i="30"/>
  <c r="L19" i="30"/>
  <c r="L23" i="30" s="1"/>
  <c r="O209" i="25" l="1"/>
  <c r="O210" i="25" s="1"/>
  <c r="O163" i="25"/>
  <c r="AH209" i="25"/>
  <c r="AH210" i="25" s="1"/>
  <c r="E6" i="37" s="1"/>
  <c r="AH163" i="25"/>
  <c r="L20" i="30"/>
  <c r="L25" i="30"/>
  <c r="L26" i="30" s="1"/>
  <c r="L22" i="30"/>
  <c r="G21" i="30"/>
  <c r="E21" i="30"/>
  <c r="E19" i="30" l="1"/>
  <c r="E23" i="30" s="1"/>
  <c r="E20" i="30" s="1"/>
  <c r="M71" i="25"/>
  <c r="Q71" i="25"/>
  <c r="R71" i="25"/>
  <c r="U71" i="25"/>
  <c r="Y71" i="25"/>
  <c r="AC71" i="25"/>
  <c r="E68" i="25"/>
  <c r="D68" i="25"/>
  <c r="E67" i="25"/>
  <c r="D67" i="25"/>
  <c r="E66" i="25"/>
  <c r="D66" i="25"/>
  <c r="E65" i="25"/>
  <c r="D65" i="25"/>
  <c r="E64" i="25"/>
  <c r="D64" i="25"/>
  <c r="E63" i="25"/>
  <c r="D63" i="25"/>
  <c r="E62" i="25"/>
  <c r="D62" i="25"/>
  <c r="E61" i="25"/>
  <c r="D61" i="25"/>
  <c r="E60" i="25"/>
  <c r="D60" i="25"/>
  <c r="E59" i="25"/>
  <c r="D59" i="25"/>
  <c r="E58" i="25"/>
  <c r="D58" i="25"/>
  <c r="E57" i="25"/>
  <c r="D57" i="25"/>
  <c r="E56" i="25"/>
  <c r="D56" i="25"/>
  <c r="AC42" i="25"/>
  <c r="K5" i="25"/>
  <c r="S68" i="25" l="1"/>
  <c r="AK68" i="25" s="1"/>
  <c r="T68" i="25"/>
  <c r="T57" i="25"/>
  <c r="S57" i="25"/>
  <c r="AK57" i="25" s="1"/>
  <c r="S61" i="25"/>
  <c r="T61" i="25"/>
  <c r="T65" i="25"/>
  <c r="S65" i="25"/>
  <c r="S64" i="25"/>
  <c r="T64" i="25"/>
  <c r="T60" i="25"/>
  <c r="S60" i="25"/>
  <c r="S58" i="25"/>
  <c r="T58" i="25"/>
  <c r="T62" i="25"/>
  <c r="S62" i="25"/>
  <c r="T66" i="25"/>
  <c r="S66" i="25"/>
  <c r="T59" i="25"/>
  <c r="S59" i="25"/>
  <c r="S63" i="25"/>
  <c r="T63" i="25"/>
  <c r="S67" i="25"/>
  <c r="T67" i="25"/>
  <c r="T56" i="25"/>
  <c r="S56" i="25"/>
  <c r="AD5" i="25"/>
  <c r="L71" i="25"/>
  <c r="E25" i="30"/>
  <c r="E26" i="30" s="1"/>
  <c r="E22" i="30"/>
  <c r="T69" i="25" l="1"/>
  <c r="AK60" i="25"/>
  <c r="AK63" i="25"/>
  <c r="AK64" i="25"/>
  <c r="AK59" i="25"/>
  <c r="AK65" i="25"/>
  <c r="AK67" i="25"/>
  <c r="AK66" i="25"/>
  <c r="AK61" i="25"/>
  <c r="AK62" i="25"/>
  <c r="S69" i="25"/>
  <c r="AK56" i="25"/>
  <c r="AK58" i="25"/>
  <c r="AD30" i="25"/>
  <c r="AD29" i="25"/>
  <c r="AD28" i="25"/>
  <c r="AD27" i="25"/>
  <c r="AD34" i="25"/>
  <c r="AD25" i="25"/>
  <c r="AD26" i="25"/>
  <c r="AD23" i="25"/>
  <c r="AD22" i="25"/>
  <c r="AD21" i="25"/>
  <c r="AD20" i="25"/>
  <c r="AD19" i="25"/>
  <c r="AD18" i="25"/>
  <c r="AD17" i="25"/>
  <c r="AD16" i="25"/>
  <c r="AD15" i="25"/>
  <c r="AD14" i="25"/>
  <c r="AD12" i="25"/>
  <c r="AD11" i="25"/>
  <c r="AD10" i="25"/>
  <c r="AD9" i="25"/>
  <c r="AD8" i="25"/>
  <c r="AD7" i="25"/>
  <c r="AD6" i="25"/>
  <c r="AT50" i="11"/>
  <c r="AO50" i="11"/>
  <c r="J67" i="25" s="1"/>
  <c r="P67" i="25" s="1"/>
  <c r="O50" i="11"/>
  <c r="F50" i="11"/>
  <c r="AT47" i="11"/>
  <c r="AO47" i="11"/>
  <c r="J64" i="25" s="1"/>
  <c r="P64" i="25" s="1"/>
  <c r="O47" i="11"/>
  <c r="F47" i="11"/>
  <c r="AT44" i="11"/>
  <c r="AO44" i="11"/>
  <c r="J61" i="25" s="1"/>
  <c r="P61" i="25" s="1"/>
  <c r="O44" i="11"/>
  <c r="F44" i="11"/>
  <c r="AT43" i="11"/>
  <c r="AO43" i="11"/>
  <c r="J60" i="25" s="1"/>
  <c r="P60" i="25" s="1"/>
  <c r="O43" i="11"/>
  <c r="F43" i="11"/>
  <c r="AT42" i="11"/>
  <c r="AO42" i="11"/>
  <c r="J59" i="25" s="1"/>
  <c r="P59" i="25" s="1"/>
  <c r="O42" i="11"/>
  <c r="F42" i="11"/>
  <c r="AT39" i="11"/>
  <c r="AO39" i="11"/>
  <c r="J56" i="25" s="1"/>
  <c r="P56" i="25" s="1"/>
  <c r="O39" i="11"/>
  <c r="F39" i="11"/>
  <c r="AT51" i="11"/>
  <c r="AO51" i="11"/>
  <c r="J68" i="25" s="1"/>
  <c r="P68" i="25" s="1"/>
  <c r="O51" i="11"/>
  <c r="F51" i="11"/>
  <c r="AT49" i="11"/>
  <c r="AO49" i="11"/>
  <c r="J66" i="25" s="1"/>
  <c r="P66" i="25" s="1"/>
  <c r="O49" i="11"/>
  <c r="F49" i="11"/>
  <c r="AT48" i="11"/>
  <c r="AO48" i="11"/>
  <c r="J65" i="25" s="1"/>
  <c r="P65" i="25" s="1"/>
  <c r="O48" i="11"/>
  <c r="F48" i="11"/>
  <c r="AT46" i="11"/>
  <c r="AO46" i="11"/>
  <c r="J63" i="25" s="1"/>
  <c r="P63" i="25" s="1"/>
  <c r="O46" i="11"/>
  <c r="F46" i="11"/>
  <c r="AT45" i="11"/>
  <c r="AO45" i="11"/>
  <c r="J62" i="25" s="1"/>
  <c r="P62" i="25" s="1"/>
  <c r="O45" i="11"/>
  <c r="F45" i="11"/>
  <c r="AT41" i="11"/>
  <c r="AO41" i="11"/>
  <c r="J58" i="25" s="1"/>
  <c r="P58" i="25" s="1"/>
  <c r="O41" i="11"/>
  <c r="F41" i="11"/>
  <c r="AT40" i="11"/>
  <c r="AO40" i="11"/>
  <c r="J57" i="25" s="1"/>
  <c r="P57" i="25" s="1"/>
  <c r="O40" i="11"/>
  <c r="F40" i="11"/>
  <c r="O13" i="11"/>
  <c r="F13" i="11"/>
  <c r="AT4" i="11"/>
  <c r="AO4" i="11"/>
  <c r="J5" i="25" s="1"/>
  <c r="O4" i="11"/>
  <c r="F4" i="11"/>
  <c r="AT15" i="11"/>
  <c r="AO15" i="11"/>
  <c r="J14" i="25" s="1"/>
  <c r="O15" i="11"/>
  <c r="F15" i="11"/>
  <c r="AT14" i="11"/>
  <c r="AO14" i="11"/>
  <c r="J13" i="25" s="1"/>
  <c r="O14" i="11"/>
  <c r="F14" i="11"/>
  <c r="AT23" i="11"/>
  <c r="AO23" i="11"/>
  <c r="J22" i="25" s="1"/>
  <c r="O23" i="11"/>
  <c r="F23" i="11"/>
  <c r="AT17" i="11"/>
  <c r="AO17" i="11"/>
  <c r="J16" i="25" s="1"/>
  <c r="P16" i="25" s="1"/>
  <c r="O17" i="11"/>
  <c r="F17" i="11"/>
  <c r="AT25" i="11"/>
  <c r="AO25" i="11"/>
  <c r="J24" i="25" s="1"/>
  <c r="O25" i="11"/>
  <c r="F25" i="11"/>
  <c r="AT24" i="11"/>
  <c r="AO24" i="11"/>
  <c r="J23" i="25" s="1"/>
  <c r="O24" i="11"/>
  <c r="F24" i="11"/>
  <c r="AT16" i="11"/>
  <c r="AO16" i="11"/>
  <c r="J15" i="25" s="1"/>
  <c r="P15" i="25" s="1"/>
  <c r="O16" i="11"/>
  <c r="F16" i="11"/>
  <c r="AO21" i="11"/>
  <c r="O21" i="11"/>
  <c r="F21" i="11"/>
  <c r="AT19" i="11"/>
  <c r="AO19" i="11"/>
  <c r="J18" i="25" s="1"/>
  <c r="P18" i="25" s="1"/>
  <c r="O19" i="11"/>
  <c r="F19" i="11"/>
  <c r="AT10" i="11"/>
  <c r="AO10" i="11"/>
  <c r="J10" i="25" s="1"/>
  <c r="O10" i="11"/>
  <c r="F10" i="11"/>
  <c r="AT22" i="11"/>
  <c r="AO22" i="11"/>
  <c r="J21" i="25" s="1"/>
  <c r="O22" i="11"/>
  <c r="F22" i="11"/>
  <c r="AT11" i="11"/>
  <c r="AO11" i="11"/>
  <c r="J11" i="25" s="1"/>
  <c r="O11" i="11"/>
  <c r="F11" i="11"/>
  <c r="AT31" i="11"/>
  <c r="AO31" i="11"/>
  <c r="J30" i="25" s="1"/>
  <c r="X30" i="25" s="1"/>
  <c r="O31" i="11"/>
  <c r="F31" i="11"/>
  <c r="AT30" i="11"/>
  <c r="AO30" i="11"/>
  <c r="J29" i="25" s="1"/>
  <c r="X29" i="25" s="1"/>
  <c r="O30" i="11"/>
  <c r="F30" i="11"/>
  <c r="AT29" i="11"/>
  <c r="AO29" i="11"/>
  <c r="J28" i="25" s="1"/>
  <c r="X28" i="25" s="1"/>
  <c r="O29" i="11"/>
  <c r="F29" i="11"/>
  <c r="AT28" i="11"/>
  <c r="AO28" i="11"/>
  <c r="J27" i="25" s="1"/>
  <c r="X27" i="25" s="1"/>
  <c r="O28" i="11"/>
  <c r="F28" i="11"/>
  <c r="AT27" i="11"/>
  <c r="AO27" i="11"/>
  <c r="J25" i="25" s="1"/>
  <c r="X25" i="25" s="1"/>
  <c r="O27" i="11"/>
  <c r="F27" i="11"/>
  <c r="AT26" i="11"/>
  <c r="AO26" i="11"/>
  <c r="J26" i="25" s="1"/>
  <c r="X26" i="25" s="1"/>
  <c r="O26" i="11"/>
  <c r="F26" i="11"/>
  <c r="AT18" i="11"/>
  <c r="AO18" i="11"/>
  <c r="J17" i="25" s="1"/>
  <c r="P17" i="25" s="1"/>
  <c r="O18" i="11"/>
  <c r="F18" i="11"/>
  <c r="AT12" i="11"/>
  <c r="AO12" i="11"/>
  <c r="J12" i="25" s="1"/>
  <c r="O12" i="11"/>
  <c r="F12" i="11"/>
  <c r="AT8" i="11"/>
  <c r="AO8" i="11"/>
  <c r="J9" i="25" s="1"/>
  <c r="O8" i="11"/>
  <c r="F8" i="11"/>
  <c r="AT7" i="11"/>
  <c r="AO7" i="11"/>
  <c r="J8" i="25" s="1"/>
  <c r="O7" i="11"/>
  <c r="F7" i="11"/>
  <c r="AT6" i="11"/>
  <c r="AO6" i="11"/>
  <c r="J7" i="25" s="1"/>
  <c r="O6" i="11"/>
  <c r="F6" i="11"/>
  <c r="AT5" i="11"/>
  <c r="AO5" i="11"/>
  <c r="J6" i="25" s="1"/>
  <c r="O5" i="11"/>
  <c r="F5" i="11"/>
  <c r="G21" i="28"/>
  <c r="E21" i="28"/>
  <c r="D10" i="27"/>
  <c r="D14" i="27" s="1"/>
  <c r="G9" i="27"/>
  <c r="H9" i="27" s="1"/>
  <c r="I9" i="27" s="1"/>
  <c r="H8" i="27"/>
  <c r="I8" i="27" s="1"/>
  <c r="H10" i="27"/>
  <c r="I10" i="27" s="1"/>
  <c r="H11" i="27"/>
  <c r="I11" i="27" s="1"/>
  <c r="H13" i="27"/>
  <c r="I13" i="27" s="1"/>
  <c r="T71" i="25" l="1"/>
  <c r="P69" i="25"/>
  <c r="X61" i="25"/>
  <c r="AF61" i="25"/>
  <c r="AB61" i="25"/>
  <c r="AF66" i="25"/>
  <c r="X66" i="25"/>
  <c r="AB66" i="25"/>
  <c r="AF59" i="25"/>
  <c r="AB59" i="25"/>
  <c r="X59" i="25"/>
  <c r="X64" i="25"/>
  <c r="AF64" i="25"/>
  <c r="AB64" i="25"/>
  <c r="AF62" i="25"/>
  <c r="AB62" i="25"/>
  <c r="X62" i="25"/>
  <c r="X56" i="25"/>
  <c r="AB56" i="25"/>
  <c r="J69" i="25"/>
  <c r="AF56" i="25"/>
  <c r="J20" i="25"/>
  <c r="P20" i="25" s="1"/>
  <c r="AP21" i="11"/>
  <c r="AU21" i="11" s="1"/>
  <c r="AF65" i="25"/>
  <c r="X65" i="25"/>
  <c r="AB65" i="25"/>
  <c r="AF68" i="25"/>
  <c r="AB68" i="25"/>
  <c r="X68" i="25"/>
  <c r="AF60" i="25"/>
  <c r="AB60" i="25"/>
  <c r="X60" i="25"/>
  <c r="X67" i="25"/>
  <c r="AB67" i="25"/>
  <c r="AF67" i="25"/>
  <c r="X58" i="25"/>
  <c r="AB58" i="25"/>
  <c r="AF58" i="25"/>
  <c r="AF57" i="25"/>
  <c r="AB57" i="25"/>
  <c r="X57" i="25"/>
  <c r="AF63" i="25"/>
  <c r="AB63" i="25"/>
  <c r="X63" i="25"/>
  <c r="X23" i="25"/>
  <c r="P23" i="25"/>
  <c r="X22" i="25"/>
  <c r="P22" i="25"/>
  <c r="X24" i="25"/>
  <c r="P24" i="25"/>
  <c r="X21" i="25"/>
  <c r="P21" i="25"/>
  <c r="AK69" i="25"/>
  <c r="AP30" i="11"/>
  <c r="AU30" i="11" s="1"/>
  <c r="AP46" i="11"/>
  <c r="AU46" i="11" s="1"/>
  <c r="AF7" i="25"/>
  <c r="AB7" i="25"/>
  <c r="X7" i="25"/>
  <c r="AP31" i="11"/>
  <c r="AU31" i="11" s="1"/>
  <c r="AF22" i="25"/>
  <c r="AB22" i="25"/>
  <c r="AP8" i="11"/>
  <c r="AU8" i="11" s="1"/>
  <c r="AP6" i="11"/>
  <c r="AU6" i="11" s="1"/>
  <c r="AP23" i="11"/>
  <c r="AU23" i="11" s="1"/>
  <c r="AP48" i="11"/>
  <c r="AU48" i="11" s="1"/>
  <c r="AP22" i="11"/>
  <c r="AU22" i="11" s="1"/>
  <c r="AP51" i="11"/>
  <c r="AU51" i="11" s="1"/>
  <c r="AP12" i="11"/>
  <c r="AU12" i="11" s="1"/>
  <c r="AP26" i="11"/>
  <c r="AU26" i="11" s="1"/>
  <c r="AP10" i="11"/>
  <c r="AU10" i="11" s="1"/>
  <c r="AP50" i="11"/>
  <c r="AU50" i="11" s="1"/>
  <c r="AP15" i="11"/>
  <c r="AU15" i="11" s="1"/>
  <c r="AP29" i="11"/>
  <c r="AU29" i="11" s="1"/>
  <c r="AP25" i="11"/>
  <c r="AU25" i="11" s="1"/>
  <c r="AF34" i="25"/>
  <c r="AB34" i="25"/>
  <c r="AB5" i="25"/>
  <c r="P5" i="25"/>
  <c r="X5" i="25"/>
  <c r="AF5" i="25"/>
  <c r="AP45" i="11"/>
  <c r="AU45" i="11" s="1"/>
  <c r="AP39" i="11"/>
  <c r="AU39" i="11" s="1"/>
  <c r="X11" i="25"/>
  <c r="AB11" i="25"/>
  <c r="AF11" i="25"/>
  <c r="AF15" i="25"/>
  <c r="X15" i="25"/>
  <c r="AB15" i="25"/>
  <c r="AP24" i="11"/>
  <c r="AU24" i="11" s="1"/>
  <c r="AP41" i="11"/>
  <c r="AU41" i="11" s="1"/>
  <c r="AP7" i="11"/>
  <c r="AU7" i="11" s="1"/>
  <c r="AP11" i="11"/>
  <c r="AU11" i="11" s="1"/>
  <c r="AP16" i="11"/>
  <c r="AU16" i="11" s="1"/>
  <c r="AP14" i="11"/>
  <c r="AU14" i="11" s="1"/>
  <c r="AP40" i="11"/>
  <c r="AU40" i="11" s="1"/>
  <c r="AP49" i="11"/>
  <c r="AU49" i="11" s="1"/>
  <c r="AP28" i="11"/>
  <c r="AU28" i="11" s="1"/>
  <c r="AF14" i="25"/>
  <c r="P14" i="25"/>
  <c r="X14" i="25"/>
  <c r="AB14" i="25"/>
  <c r="AP18" i="11"/>
  <c r="AU18" i="11" s="1"/>
  <c r="AP27" i="11"/>
  <c r="AU27" i="11" s="1"/>
  <c r="X18" i="25"/>
  <c r="AB18" i="25"/>
  <c r="AF18" i="25"/>
  <c r="AB32" i="25"/>
  <c r="AF32" i="25"/>
  <c r="AP5" i="11"/>
  <c r="AU5" i="11" s="1"/>
  <c r="AB29" i="25"/>
  <c r="AF29" i="25"/>
  <c r="AP19" i="11"/>
  <c r="AU19" i="11" s="1"/>
  <c r="P36" i="25"/>
  <c r="X36" i="25"/>
  <c r="AF36" i="25"/>
  <c r="AB36" i="25"/>
  <c r="AP42" i="11"/>
  <c r="AU42" i="11" s="1"/>
  <c r="AP17" i="11"/>
  <c r="AU17" i="11" s="1"/>
  <c r="AP47" i="11"/>
  <c r="AU47" i="11" s="1"/>
  <c r="AD36" i="25"/>
  <c r="AD13" i="25"/>
  <c r="AD32" i="25"/>
  <c r="AD33" i="25"/>
  <c r="AD24" i="25"/>
  <c r="AP4" i="11"/>
  <c r="AU4" i="11" s="1"/>
  <c r="AP44" i="11"/>
  <c r="AU44" i="11" s="1"/>
  <c r="AP43" i="11"/>
  <c r="AU43" i="11" s="1"/>
  <c r="G14" i="27"/>
  <c r="H12" i="27"/>
  <c r="I12" i="27" s="1"/>
  <c r="I14" i="27" s="1"/>
  <c r="D17" i="27"/>
  <c r="P71" i="25" l="1"/>
  <c r="J71" i="25"/>
  <c r="AO74" i="25" s="1"/>
  <c r="AL64" i="25"/>
  <c r="AL57" i="25"/>
  <c r="AL62" i="25"/>
  <c r="AL61" i="25"/>
  <c r="AL63" i="25"/>
  <c r="J40" i="25"/>
  <c r="J43" i="25" s="1"/>
  <c r="AO47" i="25" s="1"/>
  <c r="AL65" i="25"/>
  <c r="AL58" i="25"/>
  <c r="AL67" i="25"/>
  <c r="AL59" i="25"/>
  <c r="AL60" i="25"/>
  <c r="AB69" i="25"/>
  <c r="AL66" i="25"/>
  <c r="AF20" i="25"/>
  <c r="X20" i="25"/>
  <c r="AB20" i="25"/>
  <c r="AF69" i="25"/>
  <c r="AL68" i="25"/>
  <c r="X69" i="25"/>
  <c r="AL56" i="25"/>
  <c r="AD40" i="25"/>
  <c r="AD42" i="25" s="1"/>
  <c r="AB10" i="25"/>
  <c r="AF10" i="25"/>
  <c r="X10" i="25"/>
  <c r="AF13" i="25"/>
  <c r="X13" i="25"/>
  <c r="AB13" i="25"/>
  <c r="P13" i="25"/>
  <c r="AF16" i="25"/>
  <c r="AB16" i="25"/>
  <c r="X16" i="25"/>
  <c r="AF26" i="25"/>
  <c r="AB26" i="25"/>
  <c r="AB19" i="25"/>
  <c r="AF19" i="25"/>
  <c r="X19" i="25"/>
  <c r="AF28" i="25"/>
  <c r="AB28" i="25"/>
  <c r="AB33" i="25"/>
  <c r="AF33" i="25"/>
  <c r="AF8" i="25"/>
  <c r="AB8" i="25"/>
  <c r="X8" i="25"/>
  <c r="X12" i="25"/>
  <c r="AF12" i="25"/>
  <c r="AB12" i="25"/>
  <c r="AB21" i="25"/>
  <c r="AF21" i="25"/>
  <c r="AB30" i="25"/>
  <c r="AF30" i="25"/>
  <c r="AF27" i="25"/>
  <c r="AB27" i="25"/>
  <c r="AB9" i="25"/>
  <c r="AF9" i="25"/>
  <c r="X9" i="25"/>
  <c r="AB23" i="25"/>
  <c r="AF23" i="25"/>
  <c r="AF17" i="25"/>
  <c r="AB17" i="25"/>
  <c r="X17" i="25"/>
  <c r="AF25" i="25"/>
  <c r="AB25" i="25"/>
  <c r="AB6" i="25"/>
  <c r="X6" i="25"/>
  <c r="AF6" i="25"/>
  <c r="AF24" i="25"/>
  <c r="AB24" i="25"/>
  <c r="H14" i="27"/>
  <c r="X149" i="25" l="1"/>
  <c r="J149" i="25"/>
  <c r="X71" i="25"/>
  <c r="AL69" i="25"/>
  <c r="AF40" i="25"/>
  <c r="AF43" i="25" s="1"/>
  <c r="X40" i="25"/>
  <c r="X43" i="25" s="1"/>
  <c r="AB40" i="25"/>
  <c r="AB43" i="25" s="1"/>
  <c r="AO48" i="25"/>
  <c r="V71" i="25"/>
  <c r="Z71" i="25"/>
  <c r="AD71" i="25"/>
  <c r="AO75" i="25"/>
  <c r="M5" i="25"/>
  <c r="J150" i="25" l="1"/>
  <c r="J162" i="25"/>
  <c r="X150" i="25"/>
  <c r="X162" i="25"/>
  <c r="AB149" i="25"/>
  <c r="AF149" i="25"/>
  <c r="J209" i="25"/>
  <c r="J163" i="25"/>
  <c r="AO166" i="25" s="1"/>
  <c r="AO153" i="25"/>
  <c r="AL71" i="25"/>
  <c r="AO78" i="25" s="1"/>
  <c r="AF150" i="25" l="1"/>
  <c r="AF162" i="25"/>
  <c r="AB150" i="25"/>
  <c r="AB162" i="25"/>
  <c r="AF209" i="25"/>
  <c r="AF210" i="25" s="1"/>
  <c r="E14" i="37" s="1"/>
  <c r="AF163" i="25"/>
  <c r="X163" i="25"/>
  <c r="X209" i="25"/>
  <c r="X210" i="25" s="1"/>
  <c r="E16" i="37" s="1"/>
  <c r="J210" i="25"/>
  <c r="AB163" i="25"/>
  <c r="AB209" i="25"/>
  <c r="AB210" i="25" s="1"/>
  <c r="E17" i="37" s="1"/>
  <c r="AO167" i="25"/>
  <c r="AO154" i="25"/>
  <c r="N71" i="25"/>
  <c r="Q42" i="25"/>
  <c r="R42" i="25"/>
  <c r="U42" i="25"/>
  <c r="Y42" i="25"/>
  <c r="E30" i="25"/>
  <c r="D30" i="25"/>
  <c r="B30" i="25"/>
  <c r="E29" i="25"/>
  <c r="D29" i="25"/>
  <c r="B29" i="25"/>
  <c r="E28" i="25"/>
  <c r="D28" i="25"/>
  <c r="B28" i="25"/>
  <c r="E27" i="25"/>
  <c r="D27" i="25"/>
  <c r="B27" i="25"/>
  <c r="E34" i="25"/>
  <c r="D34" i="25"/>
  <c r="E25" i="25"/>
  <c r="D25" i="25"/>
  <c r="B25" i="25"/>
  <c r="E24" i="25"/>
  <c r="D24" i="25"/>
  <c r="B24" i="25"/>
  <c r="E26" i="25"/>
  <c r="D26" i="25"/>
  <c r="B26" i="25"/>
  <c r="E23" i="25"/>
  <c r="D23" i="25"/>
  <c r="B23" i="25"/>
  <c r="E22" i="25"/>
  <c r="D22" i="25"/>
  <c r="B22" i="25"/>
  <c r="E21" i="25"/>
  <c r="D21" i="25"/>
  <c r="B21" i="25"/>
  <c r="E20" i="25"/>
  <c r="D20" i="25"/>
  <c r="B20" i="25"/>
  <c r="E19" i="25"/>
  <c r="D19" i="25"/>
  <c r="E18" i="25"/>
  <c r="D18" i="25"/>
  <c r="B18" i="25"/>
  <c r="E17" i="25"/>
  <c r="D17" i="25"/>
  <c r="B17" i="25"/>
  <c r="E16" i="25"/>
  <c r="D16" i="25"/>
  <c r="B16" i="25"/>
  <c r="E15" i="25"/>
  <c r="D15" i="25"/>
  <c r="B15" i="25"/>
  <c r="E14" i="25"/>
  <c r="D14" i="25"/>
  <c r="B14" i="25"/>
  <c r="E13" i="25"/>
  <c r="D13" i="25"/>
  <c r="B13" i="25"/>
  <c r="E36" i="25"/>
  <c r="D36" i="25"/>
  <c r="E33" i="25"/>
  <c r="D33" i="25"/>
  <c r="E12" i="25"/>
  <c r="D12" i="25"/>
  <c r="B12" i="25"/>
  <c r="E11" i="25"/>
  <c r="D11" i="25"/>
  <c r="B11" i="25"/>
  <c r="E10" i="25"/>
  <c r="D10" i="25"/>
  <c r="B10" i="25"/>
  <c r="E9" i="25"/>
  <c r="D9" i="25"/>
  <c r="B9" i="25"/>
  <c r="E32" i="25"/>
  <c r="D32" i="25"/>
  <c r="E8" i="25"/>
  <c r="D8" i="25"/>
  <c r="B8" i="25"/>
  <c r="E7" i="25"/>
  <c r="D7" i="25"/>
  <c r="B7" i="25"/>
  <c r="G6" i="25"/>
  <c r="G40" i="25" s="1"/>
  <c r="G42" i="25" s="1"/>
  <c r="E6" i="25"/>
  <c r="D6" i="25"/>
  <c r="B6" i="25"/>
  <c r="N5" i="25"/>
  <c r="E5" i="25"/>
  <c r="D5" i="25"/>
  <c r="B5" i="25"/>
  <c r="AO213" i="25" l="1"/>
  <c r="AO214" i="25" s="1"/>
  <c r="E10" i="37" s="1"/>
  <c r="E5" i="37"/>
  <c r="T21" i="25"/>
  <c r="S21" i="25"/>
  <c r="T7" i="25"/>
  <c r="S7" i="25"/>
  <c r="T13" i="25"/>
  <c r="S13" i="25"/>
  <c r="S17" i="25"/>
  <c r="T17" i="25"/>
  <c r="S29" i="25"/>
  <c r="T29" i="25"/>
  <c r="T22" i="25"/>
  <c r="S22" i="25"/>
  <c r="T25" i="25"/>
  <c r="S25" i="25"/>
  <c r="T10" i="25"/>
  <c r="S10" i="25"/>
  <c r="T11" i="25"/>
  <c r="S11" i="25"/>
  <c r="T8" i="25"/>
  <c r="S8" i="25"/>
  <c r="T14" i="25"/>
  <c r="S14" i="25"/>
  <c r="S18" i="25"/>
  <c r="T18" i="25"/>
  <c r="S30" i="25"/>
  <c r="T30" i="25"/>
  <c r="T24" i="25"/>
  <c r="S24" i="25"/>
  <c r="T12" i="25"/>
  <c r="S12" i="25"/>
  <c r="T23" i="25"/>
  <c r="S23" i="25"/>
  <c r="S15" i="25"/>
  <c r="T15" i="25"/>
  <c r="S27" i="25"/>
  <c r="T27" i="25"/>
  <c r="T20" i="25"/>
  <c r="S20" i="25"/>
  <c r="T26" i="25"/>
  <c r="S26" i="25"/>
  <c r="S9" i="25"/>
  <c r="T9" i="25"/>
  <c r="S16" i="25"/>
  <c r="T16" i="25"/>
  <c r="S28" i="25"/>
  <c r="T28" i="25"/>
  <c r="T6" i="25"/>
  <c r="S6" i="25"/>
  <c r="AI6" i="25"/>
  <c r="AI40" i="25" s="1"/>
  <c r="AG6" i="25"/>
  <c r="AG40" i="25" s="1"/>
  <c r="T5" i="25"/>
  <c r="S5" i="25"/>
  <c r="K6" i="25"/>
  <c r="L42" i="25"/>
  <c r="V6" i="25"/>
  <c r="V5" i="25"/>
  <c r="I42" i="25"/>
  <c r="K7" i="25"/>
  <c r="E9" i="37" l="1"/>
  <c r="V40" i="25"/>
  <c r="AK7" i="25"/>
  <c r="S40" i="25"/>
  <c r="T40" i="25"/>
  <c r="T149" i="25" s="1"/>
  <c r="T150" i="25" s="1"/>
  <c r="AL5" i="25"/>
  <c r="AK6" i="25"/>
  <c r="V42" i="25"/>
  <c r="Z42" i="25"/>
  <c r="AK5" i="25"/>
  <c r="P6" i="25"/>
  <c r="AI71" i="25"/>
  <c r="AG71" i="25"/>
  <c r="S71" i="25"/>
  <c r="E5" i="28"/>
  <c r="AN47" i="25"/>
  <c r="K8" i="25"/>
  <c r="AK8" i="25" s="1"/>
  <c r="T43" i="25" l="1"/>
  <c r="AL6" i="25"/>
  <c r="AB71" i="25"/>
  <c r="AF71" i="25"/>
  <c r="P7" i="25"/>
  <c r="AL7" i="25" s="1"/>
  <c r="AK71" i="25"/>
  <c r="K71" i="25"/>
  <c r="E9" i="28"/>
  <c r="E17" i="28"/>
  <c r="E16" i="28"/>
  <c r="AN48" i="25"/>
  <c r="K32" i="25"/>
  <c r="T163" i="25" l="1"/>
  <c r="T209" i="25"/>
  <c r="T210" i="25" s="1"/>
  <c r="E8" i="37" s="1"/>
  <c r="AK32" i="25"/>
  <c r="AL32" i="25"/>
  <c r="P8" i="25"/>
  <c r="AL8" i="25" s="1"/>
  <c r="E10" i="28"/>
  <c r="K9" i="25"/>
  <c r="AK9" i="25" l="1"/>
  <c r="K10" i="25"/>
  <c r="AK10" i="25" l="1"/>
  <c r="P9" i="25"/>
  <c r="K11" i="25"/>
  <c r="AK11" i="25" l="1"/>
  <c r="AL9" i="25"/>
  <c r="P10" i="25"/>
  <c r="AL10" i="25" s="1"/>
  <c r="K12" i="25"/>
  <c r="AK12" i="25" l="1"/>
  <c r="P11" i="25"/>
  <c r="AL11" i="25" s="1"/>
  <c r="K33" i="25"/>
  <c r="AK33" i="25" l="1"/>
  <c r="AL33" i="25"/>
  <c r="P12" i="25"/>
  <c r="AL12" i="25" s="1"/>
  <c r="K36" i="25"/>
  <c r="AK36" i="25" l="1"/>
  <c r="AL36" i="25"/>
  <c r="K13" i="25"/>
  <c r="AL13" i="25" s="1"/>
  <c r="M13" i="25" l="1"/>
  <c r="N13" i="25" l="1"/>
  <c r="K14" i="25"/>
  <c r="M14" i="25"/>
  <c r="N14" i="25" s="1"/>
  <c r="K15" i="25"/>
  <c r="M40" i="25" l="1"/>
  <c r="AL14" i="25"/>
  <c r="AK15" i="25"/>
  <c r="AL15" i="25"/>
  <c r="AK13" i="25"/>
  <c r="N40" i="25"/>
  <c r="AK14" i="25"/>
  <c r="K16" i="25"/>
  <c r="AK16" i="25" l="1"/>
  <c r="AL16" i="25"/>
  <c r="K17" i="25"/>
  <c r="AK17" i="25" l="1"/>
  <c r="AL17" i="25"/>
  <c r="K18" i="25"/>
  <c r="AK18" i="25" l="1"/>
  <c r="AL18" i="25"/>
  <c r="K19" i="25"/>
  <c r="AK19" i="25" l="1"/>
  <c r="AL19" i="25"/>
  <c r="K20" i="25"/>
  <c r="AK20" i="25" l="1"/>
  <c r="AL20" i="25"/>
  <c r="K21" i="25"/>
  <c r="AK21" i="25" l="1"/>
  <c r="AL21" i="25"/>
  <c r="K22" i="25"/>
  <c r="AK22" i="25" l="1"/>
  <c r="AL22" i="25"/>
  <c r="K23" i="25"/>
  <c r="AK23" i="25" l="1"/>
  <c r="AL23" i="25"/>
  <c r="K26" i="25"/>
  <c r="AK26" i="25" l="1"/>
  <c r="AL26" i="25"/>
  <c r="K34" i="25"/>
  <c r="AK34" i="25" l="1"/>
  <c r="K24" i="25"/>
  <c r="K28" i="25"/>
  <c r="K25" i="25"/>
  <c r="AK25" i="25" l="1"/>
  <c r="AL25" i="25"/>
  <c r="AK24" i="25"/>
  <c r="AL24" i="25"/>
  <c r="AK28" i="25"/>
  <c r="AL28" i="25"/>
  <c r="K30" i="25"/>
  <c r="P34" i="25"/>
  <c r="K27" i="25"/>
  <c r="AK27" i="25" l="1"/>
  <c r="AL27" i="25"/>
  <c r="P40" i="25"/>
  <c r="P149" i="25" s="1"/>
  <c r="AL34" i="25"/>
  <c r="AK30" i="25"/>
  <c r="AL30" i="25"/>
  <c r="K29" i="25"/>
  <c r="AL29" i="25" s="1"/>
  <c r="P150" i="25" l="1"/>
  <c r="P162" i="25"/>
  <c r="P43" i="25"/>
  <c r="K40" i="25"/>
  <c r="S46" i="25"/>
  <c r="AL40" i="25"/>
  <c r="AK29" i="25"/>
  <c r="AK40" i="25" s="1"/>
  <c r="AL149" i="25" l="1"/>
  <c r="P209" i="25"/>
  <c r="P210" i="25" s="1"/>
  <c r="E13" i="37" s="1"/>
  <c r="E19" i="37" s="1"/>
  <c r="E23" i="37" s="1"/>
  <c r="P163" i="25"/>
  <c r="AL43" i="25"/>
  <c r="AO51" i="25" s="1"/>
  <c r="AI42" i="25"/>
  <c r="AG42" i="25"/>
  <c r="S42" i="25"/>
  <c r="E8" i="28" s="1"/>
  <c r="AL150" i="25" l="1"/>
  <c r="AO157" i="25" s="1"/>
  <c r="AL162" i="25"/>
  <c r="E22" i="37"/>
  <c r="H23" i="37" s="1"/>
  <c r="E25" i="37"/>
  <c r="E26" i="37" s="1"/>
  <c r="E20" i="37"/>
  <c r="AL209" i="25"/>
  <c r="AL163" i="25"/>
  <c r="AO170" i="25" s="1"/>
  <c r="E6" i="28"/>
  <c r="E7" i="28"/>
  <c r="N42" i="25"/>
  <c r="M42" i="25"/>
  <c r="K42" i="25"/>
  <c r="AL210" i="25" l="1"/>
  <c r="AO217" i="25" s="1"/>
  <c r="E13" i="28"/>
  <c r="E19" i="28" s="1"/>
  <c r="E23" i="28" s="1"/>
  <c r="AK42" i="25"/>
  <c r="AN51" i="25" l="1"/>
  <c r="E22" i="28"/>
  <c r="E20" i="28"/>
  <c r="E25" i="28"/>
  <c r="E26" i="28" s="1"/>
  <c r="H26" i="28" s="1"/>
</calcChain>
</file>

<file path=xl/sharedStrings.xml><?xml version="1.0" encoding="utf-8"?>
<sst xmlns="http://schemas.openxmlformats.org/spreadsheetml/2006/main" count="1506" uniqueCount="536">
  <si>
    <t xml:space="preserve">شـــرح </t>
  </si>
  <si>
    <t>رديف</t>
  </si>
  <si>
    <t>مسكن</t>
  </si>
  <si>
    <t>بن كارگري</t>
  </si>
  <si>
    <t>عائله مندي</t>
  </si>
  <si>
    <t>عيدي و پاداش</t>
  </si>
  <si>
    <t>سنوات</t>
  </si>
  <si>
    <t>-</t>
  </si>
  <si>
    <t xml:space="preserve">لباس کار </t>
  </si>
  <si>
    <t>سختی کار</t>
  </si>
  <si>
    <t>جمع خالص</t>
  </si>
  <si>
    <t>بيمه           16/67 %</t>
  </si>
  <si>
    <t xml:space="preserve">تعداد پرسنل </t>
  </si>
  <si>
    <t xml:space="preserve">جمع قیمت ماهیانه </t>
  </si>
  <si>
    <t>ردیف</t>
  </si>
  <si>
    <t>نام و</t>
  </si>
  <si>
    <t>نام خانوادگی</t>
  </si>
  <si>
    <t>دستمزد روزانه</t>
  </si>
  <si>
    <t>نوبتکاری</t>
  </si>
  <si>
    <t>حق اولاد</t>
  </si>
  <si>
    <t>اضافه کاری</t>
  </si>
  <si>
    <t>مسکن</t>
  </si>
  <si>
    <t>بن</t>
  </si>
  <si>
    <t>هزینه غذا</t>
  </si>
  <si>
    <t>جمع کل</t>
  </si>
  <si>
    <t>سود</t>
  </si>
  <si>
    <t>لباس کار</t>
  </si>
  <si>
    <t>عیدی</t>
  </si>
  <si>
    <t>ماموریت پرداختی</t>
  </si>
  <si>
    <t>بن غیر نقدی</t>
  </si>
  <si>
    <t>جمع کل خالص</t>
  </si>
  <si>
    <t>مهدی</t>
  </si>
  <si>
    <t>محسن</t>
  </si>
  <si>
    <t>قدیری</t>
  </si>
  <si>
    <t>حسین</t>
  </si>
  <si>
    <t>اولاد</t>
  </si>
  <si>
    <t>شیفت و غذا (غذا+نوبتکار)</t>
  </si>
  <si>
    <t>مبلغ کل پیشنهادی هر نفر</t>
  </si>
  <si>
    <t>شرکت نوآوران امید نیکان قزوین</t>
  </si>
  <si>
    <t>نام</t>
  </si>
  <si>
    <t>نام خانوادگي</t>
  </si>
  <si>
    <t>جنسيت</t>
  </si>
  <si>
    <t>نام پدر</t>
  </si>
  <si>
    <t>شماره شناسنامه</t>
  </si>
  <si>
    <t>محل صدور</t>
  </si>
  <si>
    <t>تاريخ تولد</t>
  </si>
  <si>
    <t>شماره بيمه</t>
  </si>
  <si>
    <t>شماره حساب</t>
  </si>
  <si>
    <t>كد ملي</t>
  </si>
  <si>
    <t>وضعيت تأهل</t>
  </si>
  <si>
    <t>تعداد اولاد</t>
  </si>
  <si>
    <t>گروه</t>
  </si>
  <si>
    <t>مزد شغل</t>
  </si>
  <si>
    <t>مزد سنوات</t>
  </si>
  <si>
    <t>سنوات گذشته</t>
  </si>
  <si>
    <t>حقوق روزانه</t>
  </si>
  <si>
    <t>حقوق ماهيانه</t>
  </si>
  <si>
    <t>جمع مزايا</t>
  </si>
  <si>
    <t>جمع كل</t>
  </si>
  <si>
    <t>قزوین</t>
  </si>
  <si>
    <t>زنجان</t>
  </si>
  <si>
    <t>تهران</t>
  </si>
  <si>
    <t>مرتضی</t>
  </si>
  <si>
    <t>احمد</t>
  </si>
  <si>
    <t>رضا</t>
  </si>
  <si>
    <t>طاهر</t>
  </si>
  <si>
    <t>لاهیجان</t>
  </si>
  <si>
    <t>علی اصغر</t>
  </si>
  <si>
    <t>شركت نوآوران امید نیکان قزوین</t>
  </si>
  <si>
    <t>رفاهی</t>
  </si>
  <si>
    <t>حق جذب</t>
  </si>
  <si>
    <t>آقاجانی</t>
  </si>
  <si>
    <t>عارف</t>
  </si>
  <si>
    <t>1376/03/08</t>
  </si>
  <si>
    <t>کارگر ساده</t>
  </si>
  <si>
    <t>1400/03/01</t>
  </si>
  <si>
    <t>1401/03/01</t>
  </si>
  <si>
    <t>ابراهیمی آتانی</t>
  </si>
  <si>
    <t>علی</t>
  </si>
  <si>
    <t>1368/1/23</t>
  </si>
  <si>
    <t>سرپرست کارگاه</t>
  </si>
  <si>
    <t>1394/06/01</t>
  </si>
  <si>
    <t>احمد پور خانی</t>
  </si>
  <si>
    <t>حسینعلی</t>
  </si>
  <si>
    <t>1381/5/13</t>
  </si>
  <si>
    <t>اسلام خواه</t>
  </si>
  <si>
    <t>سبزعلی</t>
  </si>
  <si>
    <t>1375/1/29</t>
  </si>
  <si>
    <t>امیری مافی</t>
  </si>
  <si>
    <t>امیرعلی</t>
  </si>
  <si>
    <t>1339/01/02</t>
  </si>
  <si>
    <t>مامور فنی</t>
  </si>
  <si>
    <t>تیموری</t>
  </si>
  <si>
    <t>اسکندر</t>
  </si>
  <si>
    <t>میانه</t>
  </si>
  <si>
    <t>1362/02/15</t>
  </si>
  <si>
    <t>سرایدار</t>
  </si>
  <si>
    <t>1391/04/01</t>
  </si>
  <si>
    <t xml:space="preserve">مهدی </t>
  </si>
  <si>
    <t>چگینی</t>
  </si>
  <si>
    <t>صادق</t>
  </si>
  <si>
    <t>1362/05/01</t>
  </si>
  <si>
    <t>کارگرفنی</t>
  </si>
  <si>
    <t>1395/07/01</t>
  </si>
  <si>
    <t>سید محمد</t>
  </si>
  <si>
    <t>حسینی</t>
  </si>
  <si>
    <t>سید موسی</t>
  </si>
  <si>
    <t>آبیک</t>
  </si>
  <si>
    <t>1361/06/30</t>
  </si>
  <si>
    <t>1399/01/01</t>
  </si>
  <si>
    <t>1389/05/01</t>
  </si>
  <si>
    <t>روحانی نسب</t>
  </si>
  <si>
    <t>1359/12/21</t>
  </si>
  <si>
    <t>اپراتورفنی1</t>
  </si>
  <si>
    <t>1381/06/19</t>
  </si>
  <si>
    <t>هادی</t>
  </si>
  <si>
    <t>1363/10/12</t>
  </si>
  <si>
    <t>1385/09/30</t>
  </si>
  <si>
    <t xml:space="preserve">مصطفی </t>
  </si>
  <si>
    <t>زمان</t>
  </si>
  <si>
    <t>علی نقی</t>
  </si>
  <si>
    <t>1354/05/20</t>
  </si>
  <si>
    <t>راننده خودروهای سبک</t>
  </si>
  <si>
    <t>ابراهیم</t>
  </si>
  <si>
    <t>صادقی خوبانی</t>
  </si>
  <si>
    <t>1361/09/20</t>
  </si>
  <si>
    <t>1391/06/01</t>
  </si>
  <si>
    <t>انوشیروان</t>
  </si>
  <si>
    <t>صباغ زیارانی</t>
  </si>
  <si>
    <t>مرحمت اله</t>
  </si>
  <si>
    <t>1353/01/01</t>
  </si>
  <si>
    <t>محمد رضا</t>
  </si>
  <si>
    <t>صفری زوارکی</t>
  </si>
  <si>
    <t>حاصل</t>
  </si>
  <si>
    <t>1357/12/29</t>
  </si>
  <si>
    <t>1389/04/01</t>
  </si>
  <si>
    <t>سیاوش</t>
  </si>
  <si>
    <t>فلاح خوبکوهی</t>
  </si>
  <si>
    <t>محرم</t>
  </si>
  <si>
    <t>1355/03/01</t>
  </si>
  <si>
    <t>علیرضا</t>
  </si>
  <si>
    <t>1364/01/24</t>
  </si>
  <si>
    <t>1398/09/01</t>
  </si>
  <si>
    <t>خسرو</t>
  </si>
  <si>
    <t>کاظمی</t>
  </si>
  <si>
    <t>حمداله</t>
  </si>
  <si>
    <t>1358/06/03</t>
  </si>
  <si>
    <t>کریمی</t>
  </si>
  <si>
    <t>1365/05/03</t>
  </si>
  <si>
    <t>راننده تانکر</t>
  </si>
  <si>
    <t>کشاورز نصرتی</t>
  </si>
  <si>
    <t>بهمن</t>
  </si>
  <si>
    <t>1372/01/18</t>
  </si>
  <si>
    <t>نگهبان</t>
  </si>
  <si>
    <t>1399/04/10</t>
  </si>
  <si>
    <t>شمسعلی</t>
  </si>
  <si>
    <t>1352/06/01</t>
  </si>
  <si>
    <t>هاشم</t>
  </si>
  <si>
    <t>مافی</t>
  </si>
  <si>
    <t>عباسقلی</t>
  </si>
  <si>
    <t>1368/11/03</t>
  </si>
  <si>
    <t xml:space="preserve">یوسف </t>
  </si>
  <si>
    <t>1360/07/01</t>
  </si>
  <si>
    <t>زلفعلی</t>
  </si>
  <si>
    <t>مغانلو</t>
  </si>
  <si>
    <t>شعبانعلی</t>
  </si>
  <si>
    <t>1348/06/02</t>
  </si>
  <si>
    <t>سید مرتضی</t>
  </si>
  <si>
    <t>موسوی اسدی</t>
  </si>
  <si>
    <t>عزیز اله</t>
  </si>
  <si>
    <t>1359/06/30</t>
  </si>
  <si>
    <t>جواد</t>
  </si>
  <si>
    <t>غلامی</t>
  </si>
  <si>
    <t>1401/04/01</t>
  </si>
  <si>
    <t>اکبر</t>
  </si>
  <si>
    <t>سید اسماعیل</t>
  </si>
  <si>
    <t>میرراجعی</t>
  </si>
  <si>
    <t>سید جواد</t>
  </si>
  <si>
    <t>1354/07/21</t>
  </si>
  <si>
    <t xml:space="preserve">مهر و امضاء شركت </t>
  </si>
  <si>
    <t>جمعه کاری</t>
  </si>
  <si>
    <t>تعداد</t>
  </si>
  <si>
    <t>مبلغ</t>
  </si>
  <si>
    <t>جمعه کار ماهانه</t>
  </si>
  <si>
    <t>اضافه کار ماهانه</t>
  </si>
  <si>
    <t>رامیار</t>
  </si>
  <si>
    <t>محمد</t>
  </si>
  <si>
    <t>1370/08/29</t>
  </si>
  <si>
    <t>سیکل</t>
  </si>
  <si>
    <t>دیپلم</t>
  </si>
  <si>
    <t>جعفری</t>
  </si>
  <si>
    <t>فوق لیسانس</t>
  </si>
  <si>
    <t>فوق دیپلم</t>
  </si>
  <si>
    <t>1393/06/01</t>
  </si>
  <si>
    <t>یوسف</t>
  </si>
  <si>
    <t xml:space="preserve">ردیف </t>
  </si>
  <si>
    <t>شرح</t>
  </si>
  <si>
    <t>سال 1401</t>
  </si>
  <si>
    <t>بيمه مسئوليت</t>
  </si>
  <si>
    <t>هزينه نماينده اجرايي  و مسئول ايمني و اياب و ذهاب</t>
  </si>
  <si>
    <t>مالیات</t>
  </si>
  <si>
    <t>هزينه ضمانت نامه بانكي مناقصه</t>
  </si>
  <si>
    <t>هزينه ضمانت نامه بانكي حسن اجراي تعهدات قرارداد</t>
  </si>
  <si>
    <t>مواد شوینده</t>
  </si>
  <si>
    <t>تعداد نيروها</t>
  </si>
  <si>
    <t>مبلغ اسناد خرید جزئی</t>
  </si>
  <si>
    <t>ماموريت</t>
  </si>
  <si>
    <t>حقوق و دستمزد پايه ماهيانه  (30.5 روزه)</t>
  </si>
  <si>
    <t>جمع قیمت یکساله</t>
  </si>
  <si>
    <t xml:space="preserve">آنالیز حقوق 31 نفر یکساله 1402-1401 پرسنل آبیک </t>
  </si>
  <si>
    <t>محاسبات</t>
  </si>
  <si>
    <t>هزینه سالیانه (مهندس)</t>
  </si>
  <si>
    <t>هزینه ماهیانه</t>
  </si>
  <si>
    <t xml:space="preserve">برآورد </t>
  </si>
  <si>
    <t>شرکت آب و فاضلاب آبیک و خاکعلی</t>
  </si>
  <si>
    <t>آناليز قيمت هزينه هاي سربار تامين نيروي انساني</t>
  </si>
  <si>
    <t>سود و هزینه های سربار (درصد)</t>
  </si>
  <si>
    <t>هزینه های سربار</t>
  </si>
  <si>
    <t>وضعيت خدمت</t>
  </si>
  <si>
    <t>مدرك تحصيلي</t>
  </si>
  <si>
    <t>شرايط احراز</t>
  </si>
  <si>
    <t>عنوان شغل</t>
  </si>
  <si>
    <t>كد شغل</t>
  </si>
  <si>
    <t>شروع كار</t>
  </si>
  <si>
    <t>شروع قرارداد</t>
  </si>
  <si>
    <t>پايان قرارداد</t>
  </si>
  <si>
    <t>39 4094 1194</t>
  </si>
  <si>
    <t>پایان خدمت</t>
  </si>
  <si>
    <t>زیردیپلم</t>
  </si>
  <si>
    <t>پایان راهنمایی</t>
  </si>
  <si>
    <t>024032</t>
  </si>
  <si>
    <t>58 0688 5926</t>
  </si>
  <si>
    <t>کاردانی</t>
  </si>
  <si>
    <t>81 7445 1841</t>
  </si>
  <si>
    <t>زیر دیپلم</t>
  </si>
  <si>
    <t>71 8151 9408</t>
  </si>
  <si>
    <t>14 4793 9543</t>
  </si>
  <si>
    <t>68 2251 0777</t>
  </si>
  <si>
    <t>03 8756 8261</t>
  </si>
  <si>
    <t>معافیت</t>
  </si>
  <si>
    <t>52 5645 0124</t>
  </si>
  <si>
    <t>81 2040 7213</t>
  </si>
  <si>
    <t>45 0407 9420</t>
  </si>
  <si>
    <t>57 0644 2095</t>
  </si>
  <si>
    <t>26 0864 9616</t>
  </si>
  <si>
    <t>82 6626 8978</t>
  </si>
  <si>
    <t>024036</t>
  </si>
  <si>
    <t>14 1498 4158</t>
  </si>
  <si>
    <t>53 8750 1126</t>
  </si>
  <si>
    <t>014029</t>
  </si>
  <si>
    <t>18 5435 8892</t>
  </si>
  <si>
    <t>38 4403 8889</t>
  </si>
  <si>
    <t>57 6915 4767</t>
  </si>
  <si>
    <t>033802</t>
  </si>
  <si>
    <t>کارشناسی</t>
  </si>
  <si>
    <t>90 7090 5956</t>
  </si>
  <si>
    <t>028047</t>
  </si>
  <si>
    <t>ابوالفضل</t>
  </si>
  <si>
    <t>دوستی شهرستانکی</t>
  </si>
  <si>
    <t>حیدر</t>
  </si>
  <si>
    <t>1354/09/02</t>
  </si>
  <si>
    <t>1387/01/01</t>
  </si>
  <si>
    <t>امیریان</t>
  </si>
  <si>
    <t>1376/11/26</t>
  </si>
  <si>
    <t>1401/09/13</t>
  </si>
  <si>
    <t>محبی</t>
  </si>
  <si>
    <t>ابهر</t>
  </si>
  <si>
    <t>1370/12/22</t>
  </si>
  <si>
    <t>65 8090 8890</t>
  </si>
  <si>
    <t>085340</t>
  </si>
  <si>
    <t xml:space="preserve">86 8913 9421 </t>
  </si>
  <si>
    <t xml:space="preserve">61 7274 8889 </t>
  </si>
  <si>
    <t>033649</t>
  </si>
  <si>
    <t>91 0135 8766</t>
  </si>
  <si>
    <t xml:space="preserve">87 1749 8909 </t>
  </si>
  <si>
    <t>014041</t>
  </si>
  <si>
    <t>ليسانس</t>
  </si>
  <si>
    <t>كارشناس خدمات فنی</t>
  </si>
  <si>
    <t>033330</t>
  </si>
  <si>
    <t>1401/05/10</t>
  </si>
  <si>
    <t>1401/12/01</t>
  </si>
  <si>
    <t>عزت اله</t>
  </si>
  <si>
    <t>ولی اله</t>
  </si>
  <si>
    <t>1353/04/11</t>
  </si>
  <si>
    <t>1393/08/01</t>
  </si>
  <si>
    <t>صفر</t>
  </si>
  <si>
    <t>1364/02/01</t>
  </si>
  <si>
    <t>سید مجتبی</t>
  </si>
  <si>
    <t>سید موسوی</t>
  </si>
  <si>
    <t>سید تقی</t>
  </si>
  <si>
    <t>1333/03/14</t>
  </si>
  <si>
    <t>سید صالح</t>
  </si>
  <si>
    <t>1366/05/01</t>
  </si>
  <si>
    <t>1394/08/16</t>
  </si>
  <si>
    <t>سید کاظم</t>
  </si>
  <si>
    <t>فلاح حسینی</t>
  </si>
  <si>
    <t>سید حسن</t>
  </si>
  <si>
    <t>1365/03/20</t>
  </si>
  <si>
    <t>کشاورز</t>
  </si>
  <si>
    <t>اشرف</t>
  </si>
  <si>
    <t>1357/07/01</t>
  </si>
  <si>
    <t>1393/09/01</t>
  </si>
  <si>
    <t>حسن</t>
  </si>
  <si>
    <t>محمدخانی</t>
  </si>
  <si>
    <t>علی نجات</t>
  </si>
  <si>
    <t>1355/06/03</t>
  </si>
  <si>
    <t>1396/08/01</t>
  </si>
  <si>
    <t>یاسر</t>
  </si>
  <si>
    <t>پیرمردوند چگینی</t>
  </si>
  <si>
    <t>قدمعلی</t>
  </si>
  <si>
    <t>1367/06/30</t>
  </si>
  <si>
    <t>متصدي خدمات مشتركين</t>
  </si>
  <si>
    <t>000252</t>
  </si>
  <si>
    <t>غلامرضا</t>
  </si>
  <si>
    <t>1354/06/30</t>
  </si>
  <si>
    <t>روح اله</t>
  </si>
  <si>
    <t>قاسم</t>
  </si>
  <si>
    <t>1368/03/23</t>
  </si>
  <si>
    <t>سید یاسین</t>
  </si>
  <si>
    <t>سید مناف</t>
  </si>
  <si>
    <t>1365/12/20</t>
  </si>
  <si>
    <t>1389/01/01</t>
  </si>
  <si>
    <t>مسعود</t>
  </si>
  <si>
    <t>شهسواری</t>
  </si>
  <si>
    <t>محمد علی</t>
  </si>
  <si>
    <t>1363/05/01</t>
  </si>
  <si>
    <t>کلهر</t>
  </si>
  <si>
    <t>نصیر</t>
  </si>
  <si>
    <t>1353/06/01</t>
  </si>
  <si>
    <t>1391/03/01</t>
  </si>
  <si>
    <t>1402/01/01</t>
  </si>
  <si>
    <t>1402/01/31</t>
  </si>
  <si>
    <t>ماموریت</t>
  </si>
  <si>
    <t>حقوق و دستمزد پايه ماهيانه  (31 روزه)</t>
  </si>
  <si>
    <t>آنالیز قیمت  بر مبنای حقوق سال 1402 بر مبنای میانگین فعلی (حجمی)</t>
  </si>
  <si>
    <t>کارکرد 1401</t>
  </si>
  <si>
    <t>کارکرد 1402</t>
  </si>
  <si>
    <t>مبلغ 1401</t>
  </si>
  <si>
    <t>مبلغ 1402</t>
  </si>
  <si>
    <t>نقد علی</t>
  </si>
  <si>
    <t>بالائی</t>
  </si>
  <si>
    <t>ایرج</t>
  </si>
  <si>
    <t>رضالو</t>
  </si>
  <si>
    <t>محسن زاده</t>
  </si>
  <si>
    <t>مومنی</t>
  </si>
  <si>
    <t>مجیدی</t>
  </si>
  <si>
    <t>آنالیز 30.5 روزه  31 نفر</t>
  </si>
  <si>
    <t xml:space="preserve">ولي اله </t>
  </si>
  <si>
    <t>افشاري</t>
  </si>
  <si>
    <t>عبداله</t>
  </si>
  <si>
    <t xml:space="preserve"> بهره برداری فاضلاب شهرستان بویین زهرا</t>
  </si>
  <si>
    <t>شبکه و تصفیه خانه</t>
  </si>
  <si>
    <t xml:space="preserve">غفار </t>
  </si>
  <si>
    <t>زارعي</t>
  </si>
  <si>
    <t>قربانعلی</t>
  </si>
  <si>
    <t>راننده</t>
  </si>
  <si>
    <t>011007</t>
  </si>
  <si>
    <t>شبکه</t>
  </si>
  <si>
    <t>نوبت کاری 15درصد</t>
  </si>
  <si>
    <t>نصیری</t>
  </si>
  <si>
    <t>کریم</t>
  </si>
  <si>
    <t>کارگر فنی (حفار)</t>
  </si>
  <si>
    <t>کارگر حفار</t>
  </si>
  <si>
    <t xml:space="preserve">امير </t>
  </si>
  <si>
    <t>نوروزي</t>
  </si>
  <si>
    <t>سهرابعلی</t>
  </si>
  <si>
    <t>تصفیه خانه</t>
  </si>
  <si>
    <t xml:space="preserve">امین </t>
  </si>
  <si>
    <t>اسماعیلی</t>
  </si>
  <si>
    <t>خداویردی</t>
  </si>
  <si>
    <t xml:space="preserve"> بهره برداری فاضلاب شهرستان تاکستان</t>
  </si>
  <si>
    <t>تاکستان</t>
  </si>
  <si>
    <t xml:space="preserve">سجاد </t>
  </si>
  <si>
    <t>بهمنی</t>
  </si>
  <si>
    <t>نگهبان ( نگهبان تصفیه خانه فاضلاب)</t>
  </si>
  <si>
    <t>نگهبان تصفیه خانه فاضلاب</t>
  </si>
  <si>
    <t xml:space="preserve">فرج اله </t>
  </si>
  <si>
    <t>جوادی</t>
  </si>
  <si>
    <t xml:space="preserve">ایرج </t>
  </si>
  <si>
    <t xml:space="preserve">اکبر </t>
  </si>
  <si>
    <t>خانی</t>
  </si>
  <si>
    <t>معراجعلی</t>
  </si>
  <si>
    <t>کارگر ( تعمیر و نگهداری)</t>
  </si>
  <si>
    <t xml:space="preserve">خسرو </t>
  </si>
  <si>
    <t>طاهرخانی</t>
  </si>
  <si>
    <t>نصرت اله</t>
  </si>
  <si>
    <t>راننده خودروهای سبک (واتر جت ها و وانت نیسان)</t>
  </si>
  <si>
    <t>033803</t>
  </si>
  <si>
    <t>7</t>
  </si>
  <si>
    <t>راننده (واتر جت ها و وانت نیسان)</t>
  </si>
  <si>
    <t>محمدعلی</t>
  </si>
  <si>
    <t>نیکویه</t>
  </si>
  <si>
    <t xml:space="preserve">عزیز </t>
  </si>
  <si>
    <t>مهربان</t>
  </si>
  <si>
    <t>سرایدار (سرایدار ایستگاه پمپاژ فاضلاب)</t>
  </si>
  <si>
    <t>سرایدار ایستگاه پمپاژ فاضلاب</t>
  </si>
  <si>
    <t xml:space="preserve">ولی </t>
  </si>
  <si>
    <t>مهرعلیان</t>
  </si>
  <si>
    <t>تقی</t>
  </si>
  <si>
    <t>محمد حسین</t>
  </si>
  <si>
    <t xml:space="preserve"> بهره برداری فاضلاب شهرستان قزوین</t>
  </si>
  <si>
    <t>بهره بردار تصفیه خانه</t>
  </si>
  <si>
    <t>حجت</t>
  </si>
  <si>
    <t>افراشته</t>
  </si>
  <si>
    <t>رستم</t>
  </si>
  <si>
    <t>امینی</t>
  </si>
  <si>
    <t>علی اوسط</t>
  </si>
  <si>
    <t>کارگر فنی</t>
  </si>
  <si>
    <t>ایراندوست</t>
  </si>
  <si>
    <t>بهره بردار شبکه</t>
  </si>
  <si>
    <t>آقایی</t>
  </si>
  <si>
    <t>عاطفه</t>
  </si>
  <si>
    <t>بهرامی</t>
  </si>
  <si>
    <t>سهراب</t>
  </si>
  <si>
    <t>کارگرخدمات (آزمایشگاه)</t>
  </si>
  <si>
    <t>024142</t>
  </si>
  <si>
    <t>خدمات آزمایشگاه</t>
  </si>
  <si>
    <t>محمود</t>
  </si>
  <si>
    <t>راننده خودروهای سبک (راننده و اپراتور واترجت نیسان)</t>
  </si>
  <si>
    <t>راننده و اپراتور واترجت نیسان</t>
  </si>
  <si>
    <t>صمد</t>
  </si>
  <si>
    <t>توسلی</t>
  </si>
  <si>
    <t>کارگر فنی (لایروب)</t>
  </si>
  <si>
    <t>کارگر فنی لایروب</t>
  </si>
  <si>
    <t>جعفری کشتکدشتی</t>
  </si>
  <si>
    <t>حاجی آقا</t>
  </si>
  <si>
    <t xml:space="preserve">نگهبان </t>
  </si>
  <si>
    <t>حسین پور</t>
  </si>
  <si>
    <t>غلام</t>
  </si>
  <si>
    <t>شهریار</t>
  </si>
  <si>
    <t>سلطانعلی</t>
  </si>
  <si>
    <t>بهره بردار تصقیه خانه</t>
  </si>
  <si>
    <t>خواجه وند</t>
  </si>
  <si>
    <t>عزیز قلی</t>
  </si>
  <si>
    <t>سعید</t>
  </si>
  <si>
    <t>درودگران</t>
  </si>
  <si>
    <t>ابوالقاسم</t>
  </si>
  <si>
    <t>راننده خودروهای سبک ( راننده و اپراتور واترجت ایسوزو)</t>
  </si>
  <si>
    <t>راننده و اپراتور واترجت ایسوزو</t>
  </si>
  <si>
    <t>الهه</t>
  </si>
  <si>
    <t xml:space="preserve">ربیع </t>
  </si>
  <si>
    <t>اسماعیل</t>
  </si>
  <si>
    <t>كارشناس خدمات فنی (کارشناس GIS)</t>
  </si>
  <si>
    <t>کارشناس GIS</t>
  </si>
  <si>
    <t>مظفر</t>
  </si>
  <si>
    <t>رشوند</t>
  </si>
  <si>
    <t>چراغعلی</t>
  </si>
  <si>
    <t>سلیمی</t>
  </si>
  <si>
    <t>صفری حسین پور</t>
  </si>
  <si>
    <t>اصغر</t>
  </si>
  <si>
    <t>حمید</t>
  </si>
  <si>
    <t>عباسی</t>
  </si>
  <si>
    <t>رحیم</t>
  </si>
  <si>
    <t xml:space="preserve">غلامپور ملاطی </t>
  </si>
  <si>
    <t>صفر علی</t>
  </si>
  <si>
    <t>علی رضا</t>
  </si>
  <si>
    <t>فرجی</t>
  </si>
  <si>
    <t>کاتبی</t>
  </si>
  <si>
    <t>کرمی کشمرزی</t>
  </si>
  <si>
    <t>رمضان</t>
  </si>
  <si>
    <t>گودرزوند چگینی</t>
  </si>
  <si>
    <t>راننده خودرو سنگین (جنتکس)</t>
  </si>
  <si>
    <t>036040</t>
  </si>
  <si>
    <t>9</t>
  </si>
  <si>
    <t>لطفی جلیلوند</t>
  </si>
  <si>
    <t xml:space="preserve">حیدر </t>
  </si>
  <si>
    <t>0063097370</t>
  </si>
  <si>
    <t>احسان</t>
  </si>
  <si>
    <t>مافی مقدم</t>
  </si>
  <si>
    <t>ناصر</t>
  </si>
  <si>
    <t>اپراتور کامپیوتر</t>
  </si>
  <si>
    <t>000097</t>
  </si>
  <si>
    <t>فرهاد</t>
  </si>
  <si>
    <t>محمودی دارانی</t>
  </si>
  <si>
    <t>انباردار</t>
  </si>
  <si>
    <t>000255</t>
  </si>
  <si>
    <t>انبار دار</t>
  </si>
  <si>
    <t>معصوم خانی</t>
  </si>
  <si>
    <t>عوضعلی</t>
  </si>
  <si>
    <t>تصفیه خانه بکندی</t>
  </si>
  <si>
    <t>مهدی پور</t>
  </si>
  <si>
    <t>کرمعلی</t>
  </si>
  <si>
    <t>کارگر فنی  (شستشو و لایروب)</t>
  </si>
  <si>
    <t>کارگر شستشو و لایروب</t>
  </si>
  <si>
    <t>بهتویی</t>
  </si>
  <si>
    <t xml:space="preserve">حسین </t>
  </si>
  <si>
    <t xml:space="preserve">سرایدار (سرایدار تصفیه خانه) </t>
  </si>
  <si>
    <t>بهره برداری فاضلاب شهرستان البرز</t>
  </si>
  <si>
    <t>سرایدار تصفیه خانه</t>
  </si>
  <si>
    <t xml:space="preserve">عزت اله </t>
  </si>
  <si>
    <t>حاتمی</t>
  </si>
  <si>
    <t>نعمت الله</t>
  </si>
  <si>
    <t>کارگر</t>
  </si>
  <si>
    <t xml:space="preserve">سلمان </t>
  </si>
  <si>
    <t>زارعی</t>
  </si>
  <si>
    <t xml:space="preserve">رسول </t>
  </si>
  <si>
    <t>فرهنگی</t>
  </si>
  <si>
    <t>عربعلی</t>
  </si>
  <si>
    <t xml:space="preserve">نوروزعلی </t>
  </si>
  <si>
    <t>قربانی</t>
  </si>
  <si>
    <t>امیرقلی</t>
  </si>
  <si>
    <t>راننده خودروهای سبک (راننده واترجت)</t>
  </si>
  <si>
    <t>راننده واترجت</t>
  </si>
  <si>
    <t xml:space="preserve">محسن </t>
  </si>
  <si>
    <t>مهتابی</t>
  </si>
  <si>
    <t>محمدنقی</t>
  </si>
  <si>
    <t xml:space="preserve">علی </t>
  </si>
  <si>
    <t>نجاری</t>
  </si>
  <si>
    <t>عبدالله</t>
  </si>
  <si>
    <t xml:space="preserve">قربانعلی </t>
  </si>
  <si>
    <t>نقوی دورباش</t>
  </si>
  <si>
    <t>مسلم</t>
  </si>
  <si>
    <t>2949664105</t>
  </si>
  <si>
    <t>منوچهر</t>
  </si>
  <si>
    <t xml:space="preserve"> امین قاقازانی</t>
  </si>
  <si>
    <t>احسان الله</t>
  </si>
  <si>
    <t>بهره برداری فاضلاب شهرستان آبیک</t>
  </si>
  <si>
    <t xml:space="preserve">هاشم </t>
  </si>
  <si>
    <t>سرپرست</t>
  </si>
  <si>
    <t>014039</t>
  </si>
  <si>
    <t xml:space="preserve">احمد </t>
  </si>
  <si>
    <t>حق نظری</t>
  </si>
  <si>
    <t>یعقوب</t>
  </si>
  <si>
    <t xml:space="preserve">قاسم </t>
  </si>
  <si>
    <t>شکوری آذر</t>
  </si>
  <si>
    <t>نقدعلی</t>
  </si>
  <si>
    <t xml:space="preserve">میثم </t>
  </si>
  <si>
    <t>کاظمیان فرگله ده</t>
  </si>
  <si>
    <t>ذوالفقار</t>
  </si>
  <si>
    <t>آنالیز 30. روزه  54 نفر</t>
  </si>
  <si>
    <t>آنالیز 30.5 روزه  13 نفر</t>
  </si>
  <si>
    <t>آنالیز 30.5 روزه  30 نفر</t>
  </si>
  <si>
    <t>آنالیز 30.5 روزه آبیک، طارم و بهره برداری</t>
  </si>
  <si>
    <t>آنالیز 30.5 روزه آبیک، طارم</t>
  </si>
  <si>
    <t>آنالیز 30. روزه  20 نفر</t>
  </si>
  <si>
    <t>حجم کار امداد و حوادث و بهره برداری آب و فاضلاب استان قزوین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</si>
</sst>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_-* #,##0.00\-;_-* &quot;-&quot;??_-;_-@_-"/>
    <numFmt numFmtId="164" formatCode="_(* #,##0.00_);_(* \(#,##0.00\);_(* &quot;-&quot;??_);_(@_)"/>
    <numFmt numFmtId="165" formatCode="_-* #,##0.00_-;\-* #,##0.00_-;_-* &quot;-&quot;??_-;_-@_-"/>
    <numFmt numFmtId="166" formatCode="_-* #,##0_-;\-* #,##0_-;_-* &quot;-&quot;??_-;_-@_-"/>
    <numFmt numFmtId="167" formatCode="#,##0.0"/>
    <numFmt numFmtId="168" formatCode="0.0"/>
    <numFmt numFmtId="169" formatCode="#,##0.000"/>
    <numFmt numFmtId="170" formatCode="0.000"/>
  </numFmts>
  <fonts count="53" x14ac:knownFonts="1">
    <font>
      <sz val="10"/>
      <name val="Arial"/>
      <charset val="178"/>
    </font>
    <font>
      <sz val="10"/>
      <name val="Arial"/>
      <family val="2"/>
    </font>
    <font>
      <sz val="10"/>
      <name val="B Zar"/>
      <charset val="178"/>
    </font>
    <font>
      <b/>
      <sz val="12"/>
      <name val="B Yagut"/>
      <charset val="178"/>
    </font>
    <font>
      <b/>
      <sz val="12"/>
      <name val="B Homa"/>
      <charset val="178"/>
    </font>
    <font>
      <sz val="13"/>
      <name val="B Homa"/>
      <charset val="178"/>
    </font>
    <font>
      <sz val="15"/>
      <name val="B Zar"/>
      <charset val="178"/>
    </font>
    <font>
      <sz val="12"/>
      <name val="B Yagut"/>
      <charset val="178"/>
    </font>
    <font>
      <b/>
      <u/>
      <sz val="10"/>
      <name val="B Yagut"/>
      <charset val="178"/>
    </font>
    <font>
      <b/>
      <sz val="12"/>
      <name val="B Zar"/>
      <charset val="178"/>
    </font>
    <font>
      <b/>
      <sz val="13"/>
      <name val="B Yagut"/>
      <charset val="178"/>
    </font>
    <font>
      <b/>
      <sz val="14"/>
      <name val="B Yagut"/>
      <charset val="178"/>
    </font>
    <font>
      <sz val="15"/>
      <name val="B Titr"/>
      <charset val="178"/>
    </font>
    <font>
      <sz val="13"/>
      <name val="B Nazanin"/>
      <charset val="178"/>
    </font>
    <font>
      <b/>
      <sz val="11"/>
      <name val="B Mitra"/>
      <charset val="178"/>
    </font>
    <font>
      <b/>
      <sz val="15"/>
      <name val="B Jadid"/>
      <charset val="178"/>
    </font>
    <font>
      <sz val="10"/>
      <name val="Homa"/>
      <charset val="178"/>
    </font>
    <font>
      <sz val="14"/>
      <name val="B Mitra"/>
      <charset val="178"/>
    </font>
    <font>
      <sz val="14"/>
      <color indexed="8"/>
      <name val="B Mitra"/>
      <charset val="178"/>
    </font>
    <font>
      <sz val="14"/>
      <name val="B Jadid"/>
      <charset val="178"/>
    </font>
    <font>
      <sz val="10"/>
      <name val="Arial"/>
      <family val="2"/>
    </font>
    <font>
      <b/>
      <sz val="12"/>
      <name val="B Nazanin"/>
      <charset val="178"/>
    </font>
    <font>
      <sz val="10"/>
      <color rgb="FF000000"/>
      <name val="Arial"/>
      <family val="2"/>
      <charset val="178"/>
      <scheme val="minor"/>
    </font>
    <font>
      <sz val="16"/>
      <color indexed="8"/>
      <name val="B Mitra"/>
      <charset val="178"/>
    </font>
    <font>
      <sz val="16"/>
      <name val="B Mitra"/>
      <charset val="178"/>
    </font>
    <font>
      <sz val="18"/>
      <name val="B Nazanin"/>
      <charset val="178"/>
    </font>
    <font>
      <b/>
      <sz val="18"/>
      <name val="B Nazanin"/>
      <charset val="178"/>
    </font>
    <font>
      <sz val="26"/>
      <name val="B Kourosh"/>
      <charset val="178"/>
    </font>
    <font>
      <sz val="14"/>
      <name val="B Yagut"/>
      <charset val="178"/>
    </font>
    <font>
      <sz val="16"/>
      <color rgb="FFFF0000"/>
      <name val="B Mitra"/>
      <charset val="178"/>
    </font>
    <font>
      <sz val="15"/>
      <color theme="1"/>
      <name val="B Nazanin"/>
      <charset val="178"/>
    </font>
    <font>
      <sz val="15"/>
      <name val="B Nazanin"/>
      <charset val="178"/>
    </font>
    <font>
      <sz val="12"/>
      <name val="B Nazanin"/>
      <charset val="178"/>
    </font>
    <font>
      <b/>
      <sz val="11"/>
      <name val="B Davat"/>
      <charset val="178"/>
    </font>
    <font>
      <b/>
      <sz val="12"/>
      <color theme="1"/>
      <name val="B Zar"/>
      <charset val="178"/>
    </font>
    <font>
      <b/>
      <sz val="14"/>
      <color theme="1"/>
      <name val="B Yagut"/>
      <charset val="178"/>
    </font>
    <font>
      <sz val="14"/>
      <name val="B Zar"/>
      <charset val="178"/>
    </font>
    <font>
      <sz val="24"/>
      <name val="B Kourosh"/>
      <charset val="178"/>
    </font>
    <font>
      <b/>
      <sz val="13"/>
      <name val="B Mehr"/>
      <charset val="178"/>
    </font>
    <font>
      <sz val="11"/>
      <name val="B Titr"/>
      <charset val="178"/>
    </font>
    <font>
      <b/>
      <sz val="11"/>
      <name val="B Titr"/>
      <charset val="178"/>
    </font>
    <font>
      <b/>
      <sz val="13"/>
      <name val="B Titr"/>
      <charset val="178"/>
    </font>
    <font>
      <sz val="13"/>
      <name val="B Titr"/>
      <charset val="178"/>
    </font>
    <font>
      <sz val="16"/>
      <name val="B Nazanin"/>
      <charset val="178"/>
    </font>
    <font>
      <b/>
      <sz val="16"/>
      <name val="B Nazanin"/>
      <charset val="178"/>
    </font>
    <font>
      <b/>
      <sz val="14"/>
      <name val="B Titr"/>
      <charset val="178"/>
    </font>
    <font>
      <b/>
      <sz val="12"/>
      <name val="B Titr"/>
      <charset val="178"/>
    </font>
    <font>
      <b/>
      <sz val="16"/>
      <name val="B Davat"/>
      <charset val="178"/>
    </font>
    <font>
      <sz val="10"/>
      <name val="B Nazanin"/>
      <charset val="178"/>
    </font>
    <font>
      <sz val="15"/>
      <color indexed="45"/>
      <name val="B Nazanin"/>
      <charset val="178"/>
    </font>
    <font>
      <sz val="12"/>
      <color indexed="45"/>
      <name val="B Nazanin"/>
      <charset val="178"/>
    </font>
    <font>
      <sz val="15"/>
      <color indexed="8"/>
      <name val="B Nazanin"/>
      <charset val="178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indexed="6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/>
      <bottom style="thin">
        <color indexed="22"/>
      </bottom>
      <diagonal/>
    </border>
    <border>
      <left/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4" borderId="34" applyNumberFormat="0" applyFont="0" applyAlignment="0" applyProtection="0"/>
    <xf numFmtId="0" fontId="22" fillId="0" borderId="0">
      <alignment horizontal="center" vertical="center"/>
    </xf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22">
    <xf numFmtId="0" fontId="0" fillId="0" borderId="0" xfId="0"/>
    <xf numFmtId="0" fontId="2" fillId="2" borderId="0" xfId="1" applyFont="1" applyFill="1"/>
    <xf numFmtId="3" fontId="14" fillId="0" borderId="0" xfId="0" applyNumberFormat="1" applyFont="1" applyAlignment="1">
      <alignment horizontal="center" vertical="center" shrinkToFit="1"/>
    </xf>
    <xf numFmtId="3" fontId="14" fillId="0" borderId="0" xfId="0" applyNumberFormat="1" applyFont="1" applyAlignment="1">
      <alignment horizontal="right" vertical="center" shrinkToFit="1"/>
    </xf>
    <xf numFmtId="3" fontId="17" fillId="0" borderId="18" xfId="0" applyNumberFormat="1" applyFont="1" applyBorder="1" applyAlignment="1">
      <alignment horizontal="center" vertical="center" shrinkToFit="1"/>
    </xf>
    <xf numFmtId="3" fontId="18" fillId="0" borderId="19" xfId="3" applyNumberFormat="1" applyFont="1" applyBorder="1" applyAlignment="1" applyProtection="1">
      <alignment horizontal="right" vertical="center" shrinkToFit="1"/>
      <protection locked="0"/>
    </xf>
    <xf numFmtId="3" fontId="17" fillId="0" borderId="22" xfId="0" applyNumberFormat="1" applyFont="1" applyBorder="1" applyAlignment="1">
      <alignment horizontal="center" vertical="center" shrinkToFit="1"/>
    </xf>
    <xf numFmtId="3" fontId="17" fillId="0" borderId="0" xfId="0" applyNumberFormat="1" applyFont="1" applyAlignment="1">
      <alignment horizontal="right" vertical="center" shrinkToFit="1"/>
    </xf>
    <xf numFmtId="3" fontId="18" fillId="0" borderId="0" xfId="3" applyNumberFormat="1" applyFont="1" applyAlignment="1" applyProtection="1">
      <alignment horizontal="center" vertical="center" shrinkToFit="1"/>
      <protection locked="0"/>
    </xf>
    <xf numFmtId="3" fontId="19" fillId="0" borderId="0" xfId="0" applyNumberFormat="1" applyFont="1" applyAlignment="1">
      <alignment horizontal="center" vertical="center" shrinkToFit="1"/>
    </xf>
    <xf numFmtId="167" fontId="14" fillId="0" borderId="0" xfId="0" applyNumberFormat="1" applyFont="1" applyAlignment="1">
      <alignment horizontal="center" vertical="center" shrinkToFit="1"/>
    </xf>
    <xf numFmtId="168" fontId="19" fillId="0" borderId="0" xfId="0" applyNumberFormat="1" applyFont="1" applyAlignment="1">
      <alignment horizontal="center" vertical="center" shrinkToFit="1"/>
    </xf>
    <xf numFmtId="168" fontId="17" fillId="0" borderId="0" xfId="0" applyNumberFormat="1" applyFont="1" applyAlignment="1">
      <alignment horizontal="right" vertical="center" shrinkToFit="1"/>
    </xf>
    <xf numFmtId="168" fontId="14" fillId="0" borderId="0" xfId="0" applyNumberFormat="1" applyFont="1" applyAlignment="1">
      <alignment horizontal="right" vertical="center" shrinkToFit="1"/>
    </xf>
    <xf numFmtId="0" fontId="2" fillId="2" borderId="0" xfId="1" applyFont="1" applyFill="1" applyAlignment="1">
      <alignment horizontal="center"/>
    </xf>
    <xf numFmtId="3" fontId="24" fillId="0" borderId="27" xfId="0" applyNumberFormat="1" applyFont="1" applyBorder="1" applyAlignment="1">
      <alignment horizontal="center" vertical="center" shrinkToFit="1"/>
    </xf>
    <xf numFmtId="168" fontId="23" fillId="0" borderId="0" xfId="0" applyNumberFormat="1" applyFont="1" applyAlignment="1" applyProtection="1">
      <alignment horizontal="center" vertical="center" shrinkToFit="1"/>
      <protection hidden="1"/>
    </xf>
    <xf numFmtId="3" fontId="24" fillId="0" borderId="0" xfId="0" applyNumberFormat="1" applyFont="1" applyAlignment="1">
      <alignment horizontal="center" vertical="center" shrinkToFit="1"/>
    </xf>
    <xf numFmtId="3" fontId="24" fillId="0" borderId="21" xfId="0" applyNumberFormat="1" applyFont="1" applyBorder="1" applyAlignment="1">
      <alignment horizontal="center" vertical="center" shrinkToFit="1"/>
    </xf>
    <xf numFmtId="168" fontId="23" fillId="0" borderId="20" xfId="0" applyNumberFormat="1" applyFont="1" applyBorder="1" applyAlignment="1" applyProtection="1">
      <alignment horizontal="center" vertical="center" shrinkToFit="1"/>
      <protection hidden="1"/>
    </xf>
    <xf numFmtId="3" fontId="24" fillId="0" borderId="7" xfId="0" applyNumberFormat="1" applyFont="1" applyBorder="1" applyAlignment="1">
      <alignment horizontal="center" vertical="center" shrinkToFit="1"/>
    </xf>
    <xf numFmtId="3" fontId="24" fillId="0" borderId="24" xfId="0" applyNumberFormat="1" applyFont="1" applyBorder="1" applyAlignment="1">
      <alignment horizontal="center" vertical="center" shrinkToFit="1"/>
    </xf>
    <xf numFmtId="3" fontId="24" fillId="0" borderId="32" xfId="0" applyNumberFormat="1" applyFont="1" applyBorder="1" applyAlignment="1">
      <alignment horizontal="center" vertical="center" shrinkToFit="1"/>
    </xf>
    <xf numFmtId="3" fontId="17" fillId="0" borderId="35" xfId="0" applyNumberFormat="1" applyFont="1" applyBorder="1" applyAlignment="1">
      <alignment horizontal="center" vertical="center" shrinkToFit="1"/>
    </xf>
    <xf numFmtId="3" fontId="17" fillId="0" borderId="28" xfId="0" applyNumberFormat="1" applyFont="1" applyBorder="1" applyAlignment="1">
      <alignment horizontal="center" vertical="center" shrinkToFit="1"/>
    </xf>
    <xf numFmtId="3" fontId="18" fillId="0" borderId="18" xfId="3" applyNumberFormat="1" applyFont="1" applyBorder="1" applyAlignment="1" applyProtection="1">
      <alignment horizontal="center" vertical="center" shrinkToFit="1"/>
      <protection locked="0"/>
    </xf>
    <xf numFmtId="0" fontId="25" fillId="2" borderId="0" xfId="1" applyFont="1" applyFill="1"/>
    <xf numFmtId="0" fontId="25" fillId="2" borderId="0" xfId="1" applyFont="1" applyFill="1" applyAlignment="1">
      <alignment horizontal="center"/>
    </xf>
    <xf numFmtId="3" fontId="3" fillId="3" borderId="4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horizontal="right" vertical="center" wrapText="1" indent="1"/>
    </xf>
    <xf numFmtId="3" fontId="3" fillId="3" borderId="3" xfId="1" applyNumberFormat="1" applyFont="1" applyFill="1" applyBorder="1" applyAlignment="1">
      <alignment horizontal="center" vertical="center"/>
    </xf>
    <xf numFmtId="3" fontId="23" fillId="0" borderId="26" xfId="0" applyNumberFormat="1" applyFont="1" applyBorder="1" applyAlignment="1" applyProtection="1">
      <alignment horizontal="center" vertical="center" shrinkToFit="1"/>
      <protection hidden="1"/>
    </xf>
    <xf numFmtId="3" fontId="18" fillId="0" borderId="0" xfId="3" applyNumberFormat="1" applyFont="1" applyAlignment="1" applyProtection="1">
      <alignment horizontal="right" vertical="center" shrinkToFit="1"/>
      <protection locked="0"/>
    </xf>
    <xf numFmtId="3" fontId="24" fillId="0" borderId="13" xfId="0" applyNumberFormat="1" applyFont="1" applyBorder="1" applyAlignment="1">
      <alignment horizontal="center" vertical="center" shrinkToFit="1"/>
    </xf>
    <xf numFmtId="3" fontId="29" fillId="0" borderId="24" xfId="0" applyNumberFormat="1" applyFont="1" applyBorder="1" applyAlignment="1">
      <alignment horizontal="center" vertical="center" shrinkToFit="1"/>
    </xf>
    <xf numFmtId="0" fontId="2" fillId="3" borderId="0" xfId="1" applyFont="1" applyFill="1"/>
    <xf numFmtId="0" fontId="2" fillId="3" borderId="0" xfId="1" applyFont="1" applyFill="1" applyAlignment="1">
      <alignment horizontal="center"/>
    </xf>
    <xf numFmtId="0" fontId="4" fillId="3" borderId="0" xfId="1" applyFont="1" applyFill="1" applyAlignment="1">
      <alignment shrinkToFit="1"/>
    </xf>
    <xf numFmtId="0" fontId="4" fillId="3" borderId="0" xfId="1" applyFont="1" applyFill="1" applyAlignment="1">
      <alignment horizontal="center" shrinkToFit="1"/>
    </xf>
    <xf numFmtId="166" fontId="2" fillId="3" borderId="0" xfId="8" applyNumberFormat="1" applyFont="1" applyFill="1"/>
    <xf numFmtId="3" fontId="11" fillId="3" borderId="2" xfId="1" applyNumberFormat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right" vertical="center" indent="1"/>
    </xf>
    <xf numFmtId="3" fontId="11" fillId="3" borderId="5" xfId="1" applyNumberFormat="1" applyFont="1" applyFill="1" applyBorder="1" applyAlignment="1">
      <alignment horizontal="center" vertical="center"/>
    </xf>
    <xf numFmtId="3" fontId="11" fillId="3" borderId="4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horizontal="right" vertical="center" indent="1"/>
    </xf>
    <xf numFmtId="4" fontId="9" fillId="3" borderId="0" xfId="2" applyNumberFormat="1" applyFont="1" applyFill="1" applyAlignment="1">
      <alignment horizontal="center"/>
    </xf>
    <xf numFmtId="3" fontId="11" fillId="3" borderId="28" xfId="1" applyNumberFormat="1" applyFont="1" applyFill="1" applyBorder="1" applyAlignment="1">
      <alignment horizontal="center" vertical="center"/>
    </xf>
    <xf numFmtId="3" fontId="6" fillId="3" borderId="0" xfId="1" applyNumberFormat="1" applyFont="1" applyFill="1" applyAlignment="1">
      <alignment horizontal="center"/>
    </xf>
    <xf numFmtId="3" fontId="3" fillId="3" borderId="2" xfId="1" applyNumberFormat="1" applyFont="1" applyFill="1" applyBorder="1" applyAlignment="1">
      <alignment horizontal="center" vertical="center"/>
    </xf>
    <xf numFmtId="4" fontId="6" fillId="3" borderId="0" xfId="1" applyNumberFormat="1" applyFont="1" applyFill="1" applyAlignment="1">
      <alignment horizontal="center"/>
    </xf>
    <xf numFmtId="4" fontId="2" fillId="3" borderId="0" xfId="1" applyNumberFormat="1" applyFont="1" applyFill="1" applyAlignment="1">
      <alignment horizontal="center"/>
    </xf>
    <xf numFmtId="0" fontId="3" fillId="3" borderId="28" xfId="1" applyFont="1" applyFill="1" applyBorder="1" applyAlignment="1">
      <alignment horizontal="center" vertical="center"/>
    </xf>
    <xf numFmtId="0" fontId="3" fillId="3" borderId="4" xfId="1" applyFont="1" applyFill="1" applyBorder="1" applyAlignment="1">
      <alignment horizontal="center" vertical="center"/>
    </xf>
    <xf numFmtId="3" fontId="12" fillId="3" borderId="0" xfId="1" applyNumberFormat="1" applyFont="1" applyFill="1" applyAlignment="1">
      <alignment vertical="center"/>
    </xf>
    <xf numFmtId="0" fontId="2" fillId="3" borderId="0" xfId="1" applyFont="1" applyFill="1" applyAlignment="1">
      <alignment vertical="center"/>
    </xf>
    <xf numFmtId="4" fontId="21" fillId="3" borderId="9" xfId="1" applyNumberFormat="1" applyFont="1" applyFill="1" applyBorder="1" applyAlignment="1">
      <alignment vertical="center"/>
    </xf>
    <xf numFmtId="0" fontId="13" fillId="3" borderId="0" xfId="1" applyFont="1" applyFill="1" applyAlignment="1">
      <alignment vertical="center"/>
    </xf>
    <xf numFmtId="0" fontId="21" fillId="3" borderId="0" xfId="1" applyFont="1" applyFill="1" applyAlignment="1">
      <alignment horizontal="left" vertical="center" shrinkToFit="1"/>
    </xf>
    <xf numFmtId="0" fontId="25" fillId="3" borderId="0" xfId="1" applyFont="1" applyFill="1" applyAlignment="1">
      <alignment vertical="center"/>
    </xf>
    <xf numFmtId="0" fontId="26" fillId="3" borderId="0" xfId="1" applyFont="1" applyFill="1" applyAlignment="1">
      <alignment horizontal="center" vertical="center"/>
    </xf>
    <xf numFmtId="0" fontId="25" fillId="3" borderId="0" xfId="1" applyFont="1" applyFill="1"/>
    <xf numFmtId="3" fontId="9" fillId="3" borderId="0" xfId="2" applyNumberFormat="1" applyFont="1" applyFill="1" applyAlignment="1">
      <alignment horizontal="center"/>
    </xf>
    <xf numFmtId="1" fontId="14" fillId="0" borderId="17" xfId="0" applyNumberFormat="1" applyFont="1" applyBorder="1" applyAlignment="1">
      <alignment horizontal="center" vertical="center" shrinkToFit="1"/>
    </xf>
    <xf numFmtId="3" fontId="24" fillId="0" borderId="22" xfId="0" applyNumberFormat="1" applyFont="1" applyBorder="1" applyAlignment="1">
      <alignment horizontal="center" vertical="center" shrinkToFit="1"/>
    </xf>
    <xf numFmtId="43" fontId="2" fillId="3" borderId="0" xfId="8" applyNumberFormat="1" applyFont="1" applyFill="1"/>
    <xf numFmtId="3" fontId="17" fillId="0" borderId="11" xfId="0" applyNumberFormat="1" applyFont="1" applyBorder="1" applyAlignment="1">
      <alignment horizontal="center" vertical="center" shrinkToFit="1"/>
    </xf>
    <xf numFmtId="3" fontId="17" fillId="0" borderId="0" xfId="0" applyNumberFormat="1" applyFont="1" applyAlignment="1">
      <alignment horizontal="center" vertical="center" shrinkToFit="1"/>
    </xf>
    <xf numFmtId="3" fontId="18" fillId="0" borderId="12" xfId="3" applyNumberFormat="1" applyFont="1" applyBorder="1" applyAlignment="1" applyProtection="1">
      <alignment horizontal="right" vertical="center" shrinkToFit="1"/>
      <protection locked="0"/>
    </xf>
    <xf numFmtId="3" fontId="18" fillId="0" borderId="11" xfId="3" applyNumberFormat="1" applyFont="1" applyBorder="1" applyAlignment="1" applyProtection="1">
      <alignment horizontal="center" vertical="center" shrinkToFit="1"/>
      <protection locked="0"/>
    </xf>
    <xf numFmtId="168" fontId="23" fillId="0" borderId="14" xfId="0" applyNumberFormat="1" applyFont="1" applyBorder="1" applyAlignment="1" applyProtection="1">
      <alignment horizontal="center" vertical="center" shrinkToFit="1"/>
      <protection hidden="1"/>
    </xf>
    <xf numFmtId="3" fontId="24" fillId="0" borderId="11" xfId="0" applyNumberFormat="1" applyFont="1" applyBorder="1" applyAlignment="1">
      <alignment horizontal="center" vertical="center" shrinkToFit="1"/>
    </xf>
    <xf numFmtId="1" fontId="17" fillId="0" borderId="0" xfId="0" applyNumberFormat="1" applyFont="1" applyAlignment="1">
      <alignment horizontal="center" vertical="center" shrinkToFit="1"/>
    </xf>
    <xf numFmtId="3" fontId="18" fillId="0" borderId="7" xfId="3" applyNumberFormat="1" applyFont="1" applyBorder="1" applyAlignment="1" applyProtection="1">
      <alignment vertical="center" shrinkToFit="1"/>
      <protection locked="0"/>
    </xf>
    <xf numFmtId="1" fontId="31" fillId="0" borderId="0" xfId="0" applyNumberFormat="1" applyFont="1" applyAlignment="1">
      <alignment horizontal="center"/>
    </xf>
    <xf numFmtId="3" fontId="31" fillId="0" borderId="0" xfId="0" applyNumberFormat="1" applyFont="1" applyAlignment="1">
      <alignment horizontal="center"/>
    </xf>
    <xf numFmtId="3" fontId="32" fillId="0" borderId="0" xfId="0" applyNumberFormat="1" applyFont="1" applyAlignment="1">
      <alignment horizontal="center" shrinkToFit="1"/>
    </xf>
    <xf numFmtId="3" fontId="31" fillId="0" borderId="0" xfId="0" applyNumberFormat="1" applyFont="1" applyAlignment="1">
      <alignment horizontal="right" shrinkToFit="1"/>
    </xf>
    <xf numFmtId="49" fontId="31" fillId="0" borderId="0" xfId="0" applyNumberFormat="1" applyFont="1" applyAlignment="1">
      <alignment horizontal="center"/>
    </xf>
    <xf numFmtId="0" fontId="4" fillId="3" borderId="28" xfId="1" applyFont="1" applyFill="1" applyBorder="1" applyAlignment="1">
      <alignment horizontal="center" vertical="center" shrinkToFit="1"/>
    </xf>
    <xf numFmtId="0" fontId="33" fillId="3" borderId="0" xfId="1" applyFont="1" applyFill="1" applyAlignment="1">
      <alignment horizontal="center" vertical="center"/>
    </xf>
    <xf numFmtId="166" fontId="2" fillId="3" borderId="0" xfId="8" applyNumberFormat="1" applyFont="1" applyFill="1" applyAlignment="1"/>
    <xf numFmtId="4" fontId="23" fillId="0" borderId="26" xfId="0" applyNumberFormat="1" applyFont="1" applyBorder="1" applyAlignment="1" applyProtection="1">
      <alignment horizontal="center" vertical="center" shrinkToFit="1"/>
      <protection hidden="1"/>
    </xf>
    <xf numFmtId="1" fontId="14" fillId="0" borderId="36" xfId="0" applyNumberFormat="1" applyFont="1" applyBorder="1" applyAlignment="1">
      <alignment horizontal="center" vertical="center" shrinkToFit="1"/>
    </xf>
    <xf numFmtId="1" fontId="24" fillId="0" borderId="1" xfId="0" applyNumberFormat="1" applyFont="1" applyBorder="1" applyAlignment="1">
      <alignment horizontal="center" vertical="center" shrinkToFit="1"/>
    </xf>
    <xf numFmtId="167" fontId="24" fillId="0" borderId="27" xfId="0" applyNumberFormat="1" applyFont="1" applyBorder="1" applyAlignment="1">
      <alignment horizontal="center" vertical="center" shrinkToFit="1"/>
    </xf>
    <xf numFmtId="3" fontId="17" fillId="0" borderId="0" xfId="0" applyNumberFormat="1" applyFont="1" applyAlignment="1">
      <alignment horizontal="left" vertical="center" shrinkToFit="1"/>
    </xf>
    <xf numFmtId="3" fontId="2" fillId="2" borderId="0" xfId="1" applyNumberFormat="1" applyFont="1" applyFill="1"/>
    <xf numFmtId="0" fontId="5" fillId="3" borderId="28" xfId="1" applyFont="1" applyFill="1" applyBorder="1" applyAlignment="1">
      <alignment horizontal="center" vertical="center"/>
    </xf>
    <xf numFmtId="4" fontId="34" fillId="3" borderId="0" xfId="2" applyNumberFormat="1" applyFont="1" applyFill="1" applyAlignment="1">
      <alignment horizontal="center"/>
    </xf>
    <xf numFmtId="169" fontId="34" fillId="3" borderId="0" xfId="2" applyNumberFormat="1" applyFont="1" applyFill="1" applyAlignment="1">
      <alignment horizontal="center"/>
    </xf>
    <xf numFmtId="167" fontId="35" fillId="3" borderId="28" xfId="1" applyNumberFormat="1" applyFont="1" applyFill="1" applyBorder="1" applyAlignment="1">
      <alignment horizontal="center" vertical="center"/>
    </xf>
    <xf numFmtId="3" fontId="35" fillId="3" borderId="28" xfId="1" applyNumberFormat="1" applyFont="1" applyFill="1" applyBorder="1" applyAlignment="1">
      <alignment horizontal="center" vertical="center"/>
    </xf>
    <xf numFmtId="3" fontId="36" fillId="2" borderId="0" xfId="1" applyNumberFormat="1" applyFont="1" applyFill="1" applyAlignment="1">
      <alignment horizontal="left" vertical="center"/>
    </xf>
    <xf numFmtId="0" fontId="41" fillId="2" borderId="0" xfId="1" applyFont="1" applyFill="1" applyAlignment="1">
      <alignment horizontal="center" vertical="center" wrapText="1" shrinkToFit="1"/>
    </xf>
    <xf numFmtId="3" fontId="42" fillId="2" borderId="0" xfId="1" applyNumberFormat="1" applyFont="1" applyFill="1" applyAlignment="1">
      <alignment horizontal="center" vertical="center"/>
    </xf>
    <xf numFmtId="3" fontId="21" fillId="2" borderId="37" xfId="1" applyNumberFormat="1" applyFont="1" applyFill="1" applyBorder="1" applyAlignment="1">
      <alignment horizontal="center" vertical="center"/>
    </xf>
    <xf numFmtId="3" fontId="32" fillId="2" borderId="38" xfId="1" applyNumberFormat="1" applyFont="1" applyFill="1" applyBorder="1" applyAlignment="1">
      <alignment horizontal="right" vertical="center" indent="1"/>
    </xf>
    <xf numFmtId="3" fontId="21" fillId="2" borderId="38" xfId="1" applyNumberFormat="1" applyFont="1" applyFill="1" applyBorder="1" applyAlignment="1">
      <alignment horizontal="center" vertical="center"/>
    </xf>
    <xf numFmtId="3" fontId="21" fillId="2" borderId="0" xfId="1" applyNumberFormat="1" applyFont="1" applyFill="1" applyAlignment="1">
      <alignment horizontal="center" vertical="center"/>
    </xf>
    <xf numFmtId="3" fontId="21" fillId="2" borderId="39" xfId="1" applyNumberFormat="1" applyFont="1" applyFill="1" applyBorder="1" applyAlignment="1">
      <alignment horizontal="center" vertical="center"/>
    </xf>
    <xf numFmtId="3" fontId="32" fillId="2" borderId="40" xfId="1" applyNumberFormat="1" applyFont="1" applyFill="1" applyBorder="1" applyAlignment="1">
      <alignment horizontal="right" vertical="center" indent="1"/>
    </xf>
    <xf numFmtId="3" fontId="21" fillId="2" borderId="40" xfId="1" applyNumberFormat="1" applyFont="1" applyFill="1" applyBorder="1" applyAlignment="1">
      <alignment horizontal="center" vertical="center"/>
    </xf>
    <xf numFmtId="3" fontId="32" fillId="2" borderId="41" xfId="1" applyNumberFormat="1" applyFont="1" applyFill="1" applyBorder="1" applyAlignment="1">
      <alignment horizontal="right" vertical="center" indent="1"/>
    </xf>
    <xf numFmtId="3" fontId="21" fillId="2" borderId="41" xfId="1" applyNumberFormat="1" applyFont="1" applyFill="1" applyBorder="1" applyAlignment="1">
      <alignment horizontal="center" vertical="center"/>
    </xf>
    <xf numFmtId="3" fontId="45" fillId="2" borderId="28" xfId="1" applyNumberFormat="1" applyFont="1" applyFill="1" applyBorder="1" applyAlignment="1">
      <alignment horizontal="center" vertical="center"/>
    </xf>
    <xf numFmtId="3" fontId="45" fillId="2" borderId="0" xfId="1" applyNumberFormat="1" applyFont="1" applyFill="1" applyAlignment="1">
      <alignment horizontal="center" vertical="center"/>
    </xf>
    <xf numFmtId="3" fontId="44" fillId="2" borderId="9" xfId="1" applyNumberFormat="1" applyFont="1" applyFill="1" applyBorder="1" applyAlignment="1">
      <alignment horizontal="center" vertical="center"/>
    </xf>
    <xf numFmtId="3" fontId="44" fillId="2" borderId="0" xfId="1" applyNumberFormat="1" applyFont="1" applyFill="1" applyAlignment="1">
      <alignment horizontal="center" vertical="center"/>
    </xf>
    <xf numFmtId="3" fontId="46" fillId="2" borderId="28" xfId="1" applyNumberFormat="1" applyFont="1" applyFill="1" applyBorder="1" applyAlignment="1">
      <alignment horizontal="center" vertical="center"/>
    </xf>
    <xf numFmtId="3" fontId="46" fillId="2" borderId="0" xfId="1" applyNumberFormat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3" fontId="37" fillId="2" borderId="0" xfId="1" applyNumberFormat="1" applyFont="1" applyFill="1" applyAlignment="1">
      <alignment horizontal="center" vertical="top"/>
    </xf>
    <xf numFmtId="0" fontId="38" fillId="2" borderId="0" xfId="1" applyFont="1" applyFill="1" applyAlignment="1">
      <alignment horizontal="center" vertical="center" wrapText="1" shrinkToFit="1"/>
    </xf>
    <xf numFmtId="3" fontId="39" fillId="2" borderId="29" xfId="1" applyNumberFormat="1" applyFont="1" applyFill="1" applyBorder="1" applyAlignment="1">
      <alignment horizontal="center" vertical="center"/>
    </xf>
    <xf numFmtId="3" fontId="44" fillId="2" borderId="29" xfId="1" applyNumberFormat="1" applyFont="1" applyFill="1" applyBorder="1" applyAlignment="1">
      <alignment horizontal="center" vertical="center"/>
    </xf>
    <xf numFmtId="3" fontId="43" fillId="0" borderId="29" xfId="0" applyNumberFormat="1" applyFont="1" applyBorder="1" applyAlignment="1">
      <alignment horizontal="center"/>
    </xf>
    <xf numFmtId="3" fontId="43" fillId="0" borderId="0" xfId="0" applyNumberFormat="1" applyFont="1"/>
    <xf numFmtId="3" fontId="0" fillId="0" borderId="0" xfId="0" applyNumberFormat="1"/>
    <xf numFmtId="3" fontId="44" fillId="0" borderId="0" xfId="1" applyNumberFormat="1" applyFont="1" applyAlignment="1">
      <alignment horizontal="center" vertical="center"/>
    </xf>
    <xf numFmtId="3" fontId="48" fillId="0" borderId="0" xfId="0" applyNumberFormat="1" applyFont="1" applyAlignment="1">
      <alignment horizontal="center"/>
    </xf>
    <xf numFmtId="0" fontId="47" fillId="2" borderId="0" xfId="1" applyFont="1" applyFill="1" applyAlignment="1">
      <alignment horizontal="right" vertical="center"/>
    </xf>
    <xf numFmtId="170" fontId="2" fillId="2" borderId="0" xfId="1" applyNumberFormat="1" applyFont="1" applyFill="1" applyAlignment="1">
      <alignment horizontal="center" vertical="center"/>
    </xf>
    <xf numFmtId="1" fontId="49" fillId="5" borderId="29" xfId="0" applyNumberFormat="1" applyFont="1" applyFill="1" applyBorder="1" applyAlignment="1">
      <alignment horizontal="center" vertical="center"/>
    </xf>
    <xf numFmtId="3" fontId="49" fillId="5" borderId="29" xfId="0" applyNumberFormat="1" applyFont="1" applyFill="1" applyBorder="1" applyAlignment="1">
      <alignment horizontal="center" vertical="center"/>
    </xf>
    <xf numFmtId="3" fontId="50" fillId="5" borderId="29" xfId="0" applyNumberFormat="1" applyFont="1" applyFill="1" applyBorder="1" applyAlignment="1">
      <alignment horizontal="center" vertical="center" shrinkToFit="1"/>
    </xf>
    <xf numFmtId="3" fontId="49" fillId="0" borderId="0" xfId="0" applyNumberFormat="1" applyFont="1" applyAlignment="1">
      <alignment horizontal="center"/>
    </xf>
    <xf numFmtId="3" fontId="51" fillId="6" borderId="29" xfId="3" applyNumberFormat="1" applyFont="1" applyFill="1" applyBorder="1" applyAlignment="1" applyProtection="1">
      <alignment horizontal="center" vertical="center"/>
      <protection locked="0"/>
    </xf>
    <xf numFmtId="3" fontId="51" fillId="6" borderId="33" xfId="3" applyNumberFormat="1" applyFont="1" applyFill="1" applyBorder="1" applyAlignment="1" applyProtection="1">
      <alignment horizontal="center" vertical="center"/>
      <protection locked="0"/>
    </xf>
    <xf numFmtId="1" fontId="51" fillId="6" borderId="29" xfId="3" applyNumberFormat="1" applyFont="1" applyFill="1" applyBorder="1" applyAlignment="1" applyProtection="1">
      <alignment horizontal="center" vertical="center"/>
      <protection locked="0"/>
    </xf>
    <xf numFmtId="3" fontId="51" fillId="2" borderId="0" xfId="0" applyNumberFormat="1" applyFont="1" applyFill="1" applyAlignment="1">
      <alignment horizontal="center" vertical="center"/>
    </xf>
    <xf numFmtId="3" fontId="31" fillId="0" borderId="0" xfId="0" applyNumberFormat="1" applyFont="1" applyAlignment="1">
      <alignment horizontal="center" shrinkToFit="1"/>
    </xf>
    <xf numFmtId="4" fontId="9" fillId="3" borderId="0" xfId="19" applyNumberFormat="1" applyFont="1" applyFill="1" applyAlignment="1">
      <alignment horizontal="center"/>
    </xf>
    <xf numFmtId="4" fontId="34" fillId="3" borderId="0" xfId="19" applyNumberFormat="1" applyFont="1" applyFill="1" applyAlignment="1">
      <alignment horizontal="center"/>
    </xf>
    <xf numFmtId="169" fontId="34" fillId="3" borderId="0" xfId="19" applyNumberFormat="1" applyFont="1" applyFill="1" applyAlignment="1">
      <alignment horizontal="center"/>
    </xf>
    <xf numFmtId="3" fontId="11" fillId="3" borderId="0" xfId="1" applyNumberFormat="1" applyFont="1" applyFill="1" applyAlignment="1">
      <alignment horizontal="center" vertical="center"/>
    </xf>
    <xf numFmtId="3" fontId="3" fillId="3" borderId="0" xfId="1" applyNumberFormat="1" applyFont="1" applyFill="1" applyAlignment="1">
      <alignment horizontal="center" vertical="center"/>
    </xf>
    <xf numFmtId="1" fontId="14" fillId="0" borderId="3" xfId="0" applyNumberFormat="1" applyFont="1" applyBorder="1" applyAlignment="1">
      <alignment horizontal="center" vertical="center" shrinkToFit="1"/>
    </xf>
    <xf numFmtId="168" fontId="23" fillId="0" borderId="43" xfId="0" applyNumberFormat="1" applyFont="1" applyBorder="1" applyAlignment="1" applyProtection="1">
      <alignment horizontal="center" vertical="center" shrinkToFit="1"/>
      <protection hidden="1"/>
    </xf>
    <xf numFmtId="168" fontId="23" fillId="0" borderId="44" xfId="0" applyNumberFormat="1" applyFont="1" applyBorder="1" applyAlignment="1" applyProtection="1">
      <alignment horizontal="center" vertical="center" shrinkToFit="1"/>
      <protection hidden="1"/>
    </xf>
    <xf numFmtId="3" fontId="30" fillId="0" borderId="0" xfId="0" applyNumberFormat="1" applyFont="1" applyAlignment="1">
      <alignment horizontal="center"/>
    </xf>
    <xf numFmtId="3" fontId="30" fillId="7" borderId="29" xfId="0" applyNumberFormat="1" applyFont="1" applyFill="1" applyBorder="1" applyAlignment="1">
      <alignment horizontal="center" vertical="center"/>
    </xf>
    <xf numFmtId="3" fontId="30" fillId="7" borderId="29" xfId="3" applyNumberFormat="1" applyFont="1" applyFill="1" applyBorder="1" applyAlignment="1" applyProtection="1">
      <alignment horizontal="center" vertical="center"/>
      <protection locked="0"/>
    </xf>
    <xf numFmtId="3" fontId="30" fillId="7" borderId="29" xfId="3" applyNumberFormat="1" applyFont="1" applyFill="1" applyBorder="1" applyAlignment="1" applyProtection="1">
      <alignment horizontal="center" vertical="center" shrinkToFit="1"/>
      <protection locked="0"/>
    </xf>
    <xf numFmtId="3" fontId="30" fillId="8" borderId="29" xfId="0" applyNumberFormat="1" applyFont="1" applyFill="1" applyBorder="1" applyAlignment="1">
      <alignment horizontal="center" vertical="center"/>
    </xf>
    <xf numFmtId="3" fontId="30" fillId="8" borderId="29" xfId="0" applyNumberFormat="1" applyFont="1" applyFill="1" applyBorder="1" applyAlignment="1">
      <alignment horizontal="center" vertical="center" shrinkToFit="1"/>
    </xf>
    <xf numFmtId="49" fontId="30" fillId="8" borderId="29" xfId="0" applyNumberFormat="1" applyFont="1" applyFill="1" applyBorder="1" applyAlignment="1">
      <alignment horizontal="center" vertical="center"/>
    </xf>
    <xf numFmtId="3" fontId="30" fillId="8" borderId="29" xfId="3" applyNumberFormat="1" applyFont="1" applyFill="1" applyBorder="1" applyAlignment="1" applyProtection="1">
      <alignment horizontal="center" vertical="center"/>
      <protection locked="0"/>
    </xf>
    <xf numFmtId="49" fontId="30" fillId="8" borderId="29" xfId="3" applyNumberFormat="1" applyFont="1" applyFill="1" applyBorder="1" applyAlignment="1" applyProtection="1">
      <alignment horizontal="center" vertical="center"/>
      <protection locked="0"/>
    </xf>
    <xf numFmtId="3" fontId="30" fillId="8" borderId="29" xfId="3" applyNumberFormat="1" applyFont="1" applyFill="1" applyBorder="1" applyAlignment="1" applyProtection="1">
      <alignment horizontal="center" vertical="center" shrinkToFit="1"/>
      <protection locked="0"/>
    </xf>
    <xf numFmtId="1" fontId="30" fillId="0" borderId="29" xfId="0" applyNumberFormat="1" applyFont="1" applyBorder="1" applyAlignment="1">
      <alignment horizontal="center" vertical="center"/>
    </xf>
    <xf numFmtId="3" fontId="30" fillId="0" borderId="29" xfId="0" applyNumberFormat="1" applyFont="1" applyBorder="1" applyAlignment="1">
      <alignment horizontal="center" vertical="center"/>
    </xf>
    <xf numFmtId="3" fontId="30" fillId="0" borderId="42" xfId="0" applyNumberFormat="1" applyFont="1" applyBorder="1" applyAlignment="1">
      <alignment horizontal="center" vertical="center"/>
    </xf>
    <xf numFmtId="1" fontId="30" fillId="0" borderId="29" xfId="0" applyNumberFormat="1" applyFont="1" applyBorder="1" applyAlignment="1" applyProtection="1">
      <alignment horizontal="center" vertical="center"/>
      <protection locked="0"/>
    </xf>
    <xf numFmtId="3" fontId="30" fillId="0" borderId="29" xfId="3" applyNumberFormat="1" applyFont="1" applyBorder="1" applyAlignment="1" applyProtection="1">
      <alignment horizontal="center" vertical="center"/>
      <protection locked="0"/>
    </xf>
    <xf numFmtId="3" fontId="30" fillId="0" borderId="29" xfId="0" applyNumberFormat="1" applyFont="1" applyBorder="1" applyAlignment="1" applyProtection="1">
      <alignment horizontal="center" vertical="center"/>
      <protection hidden="1"/>
    </xf>
    <xf numFmtId="1" fontId="30" fillId="0" borderId="0" xfId="0" applyNumberFormat="1" applyFont="1" applyAlignment="1">
      <alignment horizontal="center"/>
    </xf>
    <xf numFmtId="1" fontId="24" fillId="0" borderId="0" xfId="0" applyNumberFormat="1" applyFont="1" applyAlignment="1">
      <alignment horizontal="center" vertical="center" shrinkToFit="1"/>
    </xf>
    <xf numFmtId="4" fontId="23" fillId="0" borderId="0" xfId="0" applyNumberFormat="1" applyFont="1" applyAlignment="1" applyProtection="1">
      <alignment horizontal="center" vertical="center" shrinkToFit="1"/>
      <protection hidden="1"/>
    </xf>
    <xf numFmtId="167" fontId="24" fillId="0" borderId="0" xfId="0" applyNumberFormat="1" applyFont="1" applyAlignment="1">
      <alignment horizontal="center" vertical="center" shrinkToFit="1"/>
    </xf>
    <xf numFmtId="3" fontId="24" fillId="0" borderId="30" xfId="0" applyNumberFormat="1" applyFont="1" applyBorder="1" applyAlignment="1">
      <alignment horizontal="center" vertical="center" shrinkToFit="1"/>
    </xf>
    <xf numFmtId="3" fontId="31" fillId="0" borderId="29" xfId="0" applyNumberFormat="1" applyFont="1" applyBorder="1" applyAlignment="1">
      <alignment horizontal="center"/>
    </xf>
    <xf numFmtId="3" fontId="51" fillId="2" borderId="29" xfId="0" applyNumberFormat="1" applyFont="1" applyFill="1" applyBorder="1" applyAlignment="1">
      <alignment horizontal="center" vertical="center"/>
    </xf>
    <xf numFmtId="0" fontId="28" fillId="3" borderId="0" xfId="1" applyFont="1" applyFill="1" applyAlignment="1">
      <alignment shrinkToFit="1"/>
    </xf>
    <xf numFmtId="1" fontId="3" fillId="3" borderId="28" xfId="1" applyNumberFormat="1" applyFont="1" applyFill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 shrinkToFit="1"/>
    </xf>
    <xf numFmtId="1" fontId="14" fillId="0" borderId="6" xfId="0" applyNumberFormat="1" applyFont="1" applyBorder="1" applyAlignment="1">
      <alignment horizontal="center" vertical="center" wrapText="1" shrinkToFit="1"/>
    </xf>
    <xf numFmtId="1" fontId="14" fillId="0" borderId="31" xfId="0" applyNumberFormat="1" applyFont="1" applyBorder="1" applyAlignment="1">
      <alignment horizontal="center" vertical="center" shrinkToFit="1"/>
    </xf>
    <xf numFmtId="1" fontId="14" fillId="0" borderId="10" xfId="0" applyNumberFormat="1" applyFont="1" applyBorder="1" applyAlignment="1">
      <alignment horizontal="center" vertical="center" shrinkToFit="1"/>
    </xf>
    <xf numFmtId="1" fontId="14" fillId="0" borderId="45" xfId="0" applyNumberFormat="1" applyFont="1" applyBorder="1" applyAlignment="1">
      <alignment horizontal="center" vertical="center" shrinkToFit="1"/>
    </xf>
    <xf numFmtId="1" fontId="14" fillId="0" borderId="31" xfId="0" applyNumberFormat="1" applyFont="1" applyBorder="1" applyAlignment="1">
      <alignment horizontal="center" vertical="center" wrapText="1" shrinkToFit="1"/>
    </xf>
    <xf numFmtId="0" fontId="10" fillId="3" borderId="1" xfId="1" applyFont="1" applyFill="1" applyBorder="1" applyAlignment="1">
      <alignment horizontal="center" vertical="center"/>
    </xf>
    <xf numFmtId="0" fontId="10" fillId="3" borderId="7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3" borderId="7" xfId="1" applyFont="1" applyFill="1" applyBorder="1" applyAlignment="1">
      <alignment horizontal="center" vertical="center"/>
    </xf>
    <xf numFmtId="0" fontId="27" fillId="3" borderId="0" xfId="1" applyFont="1" applyFill="1" applyAlignment="1">
      <alignment horizontal="center" vertical="top"/>
    </xf>
    <xf numFmtId="0" fontId="28" fillId="3" borderId="0" xfId="1" applyFont="1" applyFill="1" applyAlignment="1">
      <alignment horizontal="center" shrinkToFit="1"/>
    </xf>
    <xf numFmtId="0" fontId="10" fillId="3" borderId="8" xfId="1" applyFont="1" applyFill="1" applyBorder="1" applyAlignment="1">
      <alignment horizontal="center" vertical="center"/>
    </xf>
    <xf numFmtId="0" fontId="10" fillId="3" borderId="30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0" fillId="3" borderId="31" xfId="1" applyFont="1" applyFill="1" applyBorder="1" applyAlignment="1">
      <alignment horizontal="center" vertical="center"/>
    </xf>
    <xf numFmtId="3" fontId="49" fillId="5" borderId="25" xfId="0" applyNumberFormat="1" applyFont="1" applyFill="1" applyBorder="1" applyAlignment="1">
      <alignment horizontal="center" vertical="center"/>
    </xf>
    <xf numFmtId="3" fontId="49" fillId="5" borderId="33" xfId="0" applyNumberFormat="1" applyFont="1" applyFill="1" applyBorder="1" applyAlignment="1">
      <alignment horizontal="center" vertical="center"/>
    </xf>
    <xf numFmtId="1" fontId="30" fillId="0" borderId="19" xfId="0" applyNumberFormat="1" applyFont="1" applyBorder="1" applyAlignment="1">
      <alignment horizontal="center"/>
    </xf>
    <xf numFmtId="0" fontId="40" fillId="2" borderId="2" xfId="1" applyFont="1" applyFill="1" applyBorder="1" applyAlignment="1">
      <alignment horizontal="center" vertical="center" wrapText="1" shrinkToFit="1"/>
    </xf>
    <xf numFmtId="0" fontId="40" fillId="2" borderId="3" xfId="1" applyFont="1" applyFill="1" applyBorder="1" applyAlignment="1">
      <alignment horizontal="center" vertical="center" wrapText="1" shrinkToFit="1"/>
    </xf>
    <xf numFmtId="3" fontId="39" fillId="2" borderId="25" xfId="1" applyNumberFormat="1" applyFont="1" applyFill="1" applyBorder="1" applyAlignment="1">
      <alignment horizontal="center" vertical="center"/>
    </xf>
    <xf numFmtId="3" fontId="39" fillId="2" borderId="23" xfId="1" applyNumberFormat="1" applyFont="1" applyFill="1" applyBorder="1" applyAlignment="1">
      <alignment horizontal="center" vertical="center"/>
    </xf>
    <xf numFmtId="3" fontId="45" fillId="2" borderId="1" xfId="1" applyNumberFormat="1" applyFont="1" applyFill="1" applyBorder="1" applyAlignment="1">
      <alignment horizontal="center" vertical="center"/>
    </xf>
    <xf numFmtId="3" fontId="45" fillId="2" borderId="7" xfId="1" applyNumberFormat="1" applyFont="1" applyFill="1" applyBorder="1" applyAlignment="1">
      <alignment horizontal="center" vertical="center"/>
    </xf>
    <xf numFmtId="3" fontId="46" fillId="2" borderId="1" xfId="1" applyNumberFormat="1" applyFont="1" applyFill="1" applyBorder="1" applyAlignment="1">
      <alignment horizontal="center" vertical="center"/>
    </xf>
    <xf numFmtId="3" fontId="46" fillId="2" borderId="7" xfId="1" applyNumberFormat="1" applyFont="1" applyFill="1" applyBorder="1" applyAlignment="1">
      <alignment horizontal="center" vertical="center"/>
    </xf>
    <xf numFmtId="3" fontId="37" fillId="2" borderId="0" xfId="1" applyNumberFormat="1" applyFont="1" applyFill="1" applyAlignment="1">
      <alignment horizontal="center" vertical="top"/>
    </xf>
    <xf numFmtId="0" fontId="38" fillId="2" borderId="0" xfId="1" applyFont="1" applyFill="1" applyAlignment="1">
      <alignment horizontal="center" vertical="center" wrapText="1" shrinkToFit="1"/>
    </xf>
    <xf numFmtId="0" fontId="38" fillId="2" borderId="10" xfId="1" applyFont="1" applyFill="1" applyBorder="1" applyAlignment="1">
      <alignment horizontal="center" vertical="center" wrapText="1" shrinkToFit="1"/>
    </xf>
    <xf numFmtId="3" fontId="39" fillId="2" borderId="2" xfId="1" applyNumberFormat="1" applyFont="1" applyFill="1" applyBorder="1" applyAlignment="1">
      <alignment horizontal="center" vertical="center"/>
    </xf>
    <xf numFmtId="3" fontId="39" fillId="2" borderId="3" xfId="1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 shrinkToFit="1"/>
    </xf>
    <xf numFmtId="1" fontId="14" fillId="0" borderId="7" xfId="0" applyNumberFormat="1" applyFont="1" applyBorder="1" applyAlignment="1">
      <alignment horizontal="center" vertical="center" shrinkToFit="1"/>
    </xf>
    <xf numFmtId="3" fontId="14" fillId="0" borderId="43" xfId="0" applyNumberFormat="1" applyFont="1" applyBorder="1" applyAlignment="1">
      <alignment horizontal="center" vertical="center" shrinkToFit="1"/>
    </xf>
    <xf numFmtId="3" fontId="14" fillId="0" borderId="12" xfId="0" applyNumberFormat="1" applyFont="1" applyBorder="1" applyAlignment="1">
      <alignment horizontal="center" vertical="center" shrinkToFit="1"/>
    </xf>
    <xf numFmtId="3" fontId="14" fillId="0" borderId="13" xfId="0" applyNumberFormat="1" applyFont="1" applyBorder="1" applyAlignment="1">
      <alignment horizontal="center" vertical="center" shrinkToFit="1"/>
    </xf>
    <xf numFmtId="1" fontId="14" fillId="0" borderId="2" xfId="0" applyNumberFormat="1" applyFont="1" applyBorder="1" applyAlignment="1">
      <alignment horizontal="center" vertical="center" shrinkToFit="1"/>
    </xf>
    <xf numFmtId="1" fontId="14" fillId="0" borderId="3" xfId="0" applyNumberFormat="1" applyFont="1" applyBorder="1" applyAlignment="1">
      <alignment horizontal="center" vertical="center" shrinkToFit="1"/>
    </xf>
    <xf numFmtId="1" fontId="14" fillId="0" borderId="43" xfId="0" applyNumberFormat="1" applyFont="1" applyBorder="1" applyAlignment="1">
      <alignment horizontal="center" vertical="center" shrinkToFit="1"/>
    </xf>
    <xf numFmtId="1" fontId="14" fillId="0" borderId="12" xfId="0" applyNumberFormat="1" applyFont="1" applyBorder="1" applyAlignment="1">
      <alignment horizontal="center" vertical="center" shrinkToFit="1"/>
    </xf>
    <xf numFmtId="1" fontId="14" fillId="0" borderId="13" xfId="0" applyNumberFormat="1" applyFont="1" applyBorder="1" applyAlignment="1">
      <alignment horizontal="center" vertical="center" shrinkToFit="1"/>
    </xf>
    <xf numFmtId="3" fontId="18" fillId="0" borderId="1" xfId="3" applyNumberFormat="1" applyFont="1" applyBorder="1" applyAlignment="1" applyProtection="1">
      <alignment horizontal="center" vertical="center" shrinkToFit="1"/>
      <protection locked="0"/>
    </xf>
    <xf numFmtId="3" fontId="18" fillId="0" borderId="9" xfId="3" applyNumberFormat="1" applyFont="1" applyBorder="1" applyAlignment="1" applyProtection="1">
      <alignment horizontal="center" vertical="center" shrinkToFit="1"/>
      <protection locked="0"/>
    </xf>
    <xf numFmtId="3" fontId="14" fillId="0" borderId="2" xfId="0" applyNumberFormat="1" applyFont="1" applyBorder="1" applyAlignment="1">
      <alignment horizontal="center" vertical="center" shrinkToFit="1"/>
    </xf>
    <xf numFmtId="3" fontId="14" fillId="0" borderId="3" xfId="0" applyNumberFormat="1" applyFont="1" applyBorder="1" applyAlignment="1">
      <alignment horizontal="center" vertical="center" shrinkToFit="1"/>
    </xf>
    <xf numFmtId="1" fontId="14" fillId="0" borderId="2" xfId="0" applyNumberFormat="1" applyFont="1" applyBorder="1" applyAlignment="1">
      <alignment horizontal="center" vertical="center" wrapText="1" shrinkToFit="1"/>
    </xf>
    <xf numFmtId="1" fontId="14" fillId="0" borderId="3" xfId="0" applyNumberFormat="1" applyFont="1" applyBorder="1" applyAlignment="1">
      <alignment horizontal="center" vertical="center" wrapText="1" shrinkToFit="1"/>
    </xf>
    <xf numFmtId="3" fontId="18" fillId="0" borderId="7" xfId="3" applyNumberFormat="1" applyFont="1" applyBorder="1" applyAlignment="1" applyProtection="1">
      <alignment horizontal="center" vertical="center" shrinkToFit="1"/>
      <protection locked="0"/>
    </xf>
    <xf numFmtId="3" fontId="14" fillId="0" borderId="11" xfId="0" applyNumberFormat="1" applyFont="1" applyBorder="1" applyAlignment="1">
      <alignment horizontal="center" vertical="center" shrinkToFit="1"/>
    </xf>
    <xf numFmtId="3" fontId="14" fillId="0" borderId="15" xfId="0" applyNumberFormat="1" applyFont="1" applyBorder="1" applyAlignment="1">
      <alignment horizontal="center" vertical="center" shrinkToFit="1"/>
    </xf>
    <xf numFmtId="3" fontId="14" fillId="0" borderId="12" xfId="0" applyNumberFormat="1" applyFont="1" applyBorder="1" applyAlignment="1">
      <alignment horizontal="left" vertical="center" shrinkToFit="1"/>
    </xf>
    <xf numFmtId="3" fontId="14" fillId="0" borderId="16" xfId="0" applyNumberFormat="1" applyFont="1" applyBorder="1" applyAlignment="1">
      <alignment horizontal="left" vertical="center" shrinkToFit="1"/>
    </xf>
    <xf numFmtId="3" fontId="14" fillId="0" borderId="12" xfId="0" applyNumberFormat="1" applyFont="1" applyBorder="1" applyAlignment="1">
      <alignment horizontal="right" vertical="center" shrinkToFit="1"/>
    </xf>
    <xf numFmtId="3" fontId="14" fillId="0" borderId="16" xfId="0" applyNumberFormat="1" applyFont="1" applyBorder="1" applyAlignment="1">
      <alignment horizontal="right" vertical="center" shrinkToFit="1"/>
    </xf>
    <xf numFmtId="3" fontId="15" fillId="0" borderId="0" xfId="0" applyNumberFormat="1" applyFont="1" applyAlignment="1">
      <alignment horizontal="center" vertical="center" shrinkToFit="1"/>
    </xf>
    <xf numFmtId="3" fontId="15" fillId="0" borderId="10" xfId="0" applyNumberFormat="1" applyFont="1" applyBorder="1" applyAlignment="1">
      <alignment horizontal="center" vertical="center" shrinkToFit="1"/>
    </xf>
  </cellXfs>
  <cellStyles count="21">
    <cellStyle name="Comma 2" xfId="2"/>
    <cellStyle name="Comma 2 2" xfId="19"/>
    <cellStyle name="Comma 3" xfId="8"/>
    <cellStyle name="Comma 3 2" xfId="18"/>
    <cellStyle name="Comma 3 3" xfId="20"/>
    <cellStyle name="Normal" xfId="0" builtinId="0"/>
    <cellStyle name="Normal 2" xfId="1"/>
    <cellStyle name="Normal 2 2" xfId="4"/>
    <cellStyle name="Normal 2 2 2" xfId="9"/>
    <cellStyle name="Normal 2 3" xfId="10"/>
    <cellStyle name="Normal 2 4" xfId="11"/>
    <cellStyle name="Normal 3" xfId="5"/>
    <cellStyle name="Normal 3 2" xfId="12"/>
    <cellStyle name="Normal 4" xfId="13"/>
    <cellStyle name="Normal 4 2" xfId="14"/>
    <cellStyle name="Normal 5" xfId="15"/>
    <cellStyle name="Normal 6" xfId="6"/>
    <cellStyle name="Normal 9" xfId="7"/>
    <cellStyle name="Normal_آغنآقآت (2)" xfId="3"/>
    <cellStyle name="Note 2" xfId="16"/>
    <cellStyle name="S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570;&#1606;&#1575;&#1604;&#1740;&#1586;%20&#1570;&#1576;&#1740;&#1705;,&#1591;&#1575;&#1585;&#1605;%20&#1608;%20&#1576;&#1607;&#1585;&#1607;%20&#1576;&#1585;&#1583;&#1575;&#1585;&#174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401\Excel\&#1570;&#1576;\&#1605;&#1578;&#1601;&#1585;&#1602;&#1607;\&#1575;&#1591;&#1604;&#1575;&#1593;&#1575;&#1578;%2085\&#1575;&#1591;&#1604;&#1575;&#1593;&#1575;&#1578;\poste%20bargh.xlk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ell\98\&#1601;&#1575;&#1740;&#1604;%20&#1605;&#1602;&#1575;&#1740;&#1587;&#1607;%20&#1575;&#1740;%20&#1570;&#1576;\&#1575;&#1591;&#1604;&#1575;&#1593;&#1575;&#1578;%2085\&#1575;&#1591;&#1604;&#1575;&#1593;&#1575;&#1578;\poste%20bargh.xl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آنالیز آبیک,طارم و بهره برداری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خلاصه اطلاعات84"/>
      <sheetName val="عيدي 1383"/>
      <sheetName val="اطلاعات طبقه بندي"/>
      <sheetName val="كاركرد"/>
      <sheetName val="قرارداد طبقه بندي"/>
      <sheetName val="تسويه"/>
      <sheetName val="عيدي"/>
      <sheetName val="صورت وضعيت"/>
      <sheetName val="آناليز2"/>
      <sheetName val="مانده مرخصي"/>
      <sheetName val="لباس كار و كفش كا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خلاصه اطلاعات84"/>
      <sheetName val="عيدي 1383"/>
      <sheetName val="اطلاعات طبقه بندي"/>
      <sheetName val="كاركرد"/>
      <sheetName val="قرارداد طبقه بندي"/>
      <sheetName val="تسويه"/>
      <sheetName val="عيدي"/>
      <sheetName val="صورت وضعيت"/>
      <sheetName val="آناليز2"/>
      <sheetName val="مانده مرخصي"/>
      <sheetName val="لباس كار و كفش كا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B52"/>
  <sheetViews>
    <sheetView rightToLeft="1" zoomScaleNormal="100" workbookViewId="0">
      <selection activeCell="L13" sqref="L13"/>
    </sheetView>
  </sheetViews>
  <sheetFormatPr defaultColWidth="10.42578125" defaultRowHeight="17.25" x14ac:dyDescent="0.5"/>
  <cols>
    <col min="1" max="1" width="10.42578125" style="35"/>
    <col min="2" max="2" width="6.85546875" style="55" bestFit="1" customWidth="1"/>
    <col min="3" max="3" width="36.28515625" style="55" bestFit="1" customWidth="1"/>
    <col min="4" max="4" width="0.85546875" style="55" customWidth="1"/>
    <col min="5" max="5" width="17.28515625" style="55" bestFit="1" customWidth="1"/>
    <col min="6" max="6" width="10" style="36" customWidth="1"/>
    <col min="7" max="7" width="15.42578125" style="35" bestFit="1" customWidth="1"/>
    <col min="8" max="8" width="21.28515625" style="35" bestFit="1" customWidth="1"/>
    <col min="9" max="9" width="6.85546875" style="55" bestFit="1" customWidth="1"/>
    <col min="10" max="10" width="36.28515625" style="55" bestFit="1" customWidth="1"/>
    <col min="11" max="11" width="0.85546875" style="55" customWidth="1"/>
    <col min="12" max="12" width="17.28515625" style="55" bestFit="1" customWidth="1"/>
    <col min="13" max="13" width="10" style="36" customWidth="1"/>
    <col min="14" max="14" width="15.42578125" style="35" bestFit="1" customWidth="1"/>
    <col min="15" max="15" width="19.7109375" style="35" bestFit="1" customWidth="1"/>
    <col min="16" max="17" width="26.7109375" style="35" customWidth="1"/>
    <col min="18" max="210" width="10.42578125" style="35"/>
    <col min="211" max="211" width="14.5703125" style="35" bestFit="1" customWidth="1"/>
    <col min="212" max="212" width="15.85546875" style="35" bestFit="1" customWidth="1"/>
    <col min="213" max="213" width="20.42578125" style="35" bestFit="1" customWidth="1"/>
    <col min="214" max="214" width="22.5703125" style="35" bestFit="1" customWidth="1"/>
    <col min="215" max="215" width="20.28515625" style="35" bestFit="1" customWidth="1"/>
    <col min="216" max="216" width="0.85546875" style="35" customWidth="1"/>
    <col min="217" max="217" width="21.85546875" style="35" bestFit="1" customWidth="1"/>
    <col min="218" max="218" width="20.28515625" style="35" bestFit="1" customWidth="1"/>
    <col min="219" max="219" width="34.140625" style="35" bestFit="1" customWidth="1"/>
    <col min="220" max="220" width="6.85546875" style="35" bestFit="1" customWidth="1"/>
    <col min="221" max="221" width="13.42578125" style="35" bestFit="1" customWidth="1"/>
    <col min="222" max="222" width="18.140625" style="35" bestFit="1" customWidth="1"/>
    <col min="223" max="263" width="10.42578125" style="35"/>
    <col min="264" max="264" width="6.85546875" style="35" bestFit="1" customWidth="1"/>
    <col min="265" max="265" width="50.28515625" style="35" customWidth="1"/>
    <col min="266" max="266" width="0.85546875" style="35" customWidth="1"/>
    <col min="267" max="267" width="47.7109375" style="35" customWidth="1"/>
    <col min="268" max="268" width="10" style="35" customWidth="1"/>
    <col min="269" max="269" width="15.42578125" style="35" bestFit="1" customWidth="1"/>
    <col min="270" max="270" width="21.28515625" style="35" bestFit="1" customWidth="1"/>
    <col min="271" max="271" width="19.7109375" style="35" bestFit="1" customWidth="1"/>
    <col min="272" max="273" width="26.7109375" style="35" customWidth="1"/>
    <col min="274" max="466" width="10.42578125" style="35"/>
    <col min="467" max="467" width="14.5703125" style="35" bestFit="1" customWidth="1"/>
    <col min="468" max="468" width="15.85546875" style="35" bestFit="1" customWidth="1"/>
    <col min="469" max="469" width="20.42578125" style="35" bestFit="1" customWidth="1"/>
    <col min="470" max="470" width="22.5703125" style="35" bestFit="1" customWidth="1"/>
    <col min="471" max="471" width="20.28515625" style="35" bestFit="1" customWidth="1"/>
    <col min="472" max="472" width="0.85546875" style="35" customWidth="1"/>
    <col min="473" max="473" width="21.85546875" style="35" bestFit="1" customWidth="1"/>
    <col min="474" max="474" width="20.28515625" style="35" bestFit="1" customWidth="1"/>
    <col min="475" max="475" width="34.140625" style="35" bestFit="1" customWidth="1"/>
    <col min="476" max="476" width="6.85546875" style="35" bestFit="1" customWidth="1"/>
    <col min="477" max="477" width="13.42578125" style="35" bestFit="1" customWidth="1"/>
    <col min="478" max="478" width="18.140625" style="35" bestFit="1" customWidth="1"/>
    <col min="479" max="519" width="10.42578125" style="35"/>
    <col min="520" max="520" width="6.85546875" style="35" bestFit="1" customWidth="1"/>
    <col min="521" max="521" width="50.28515625" style="35" customWidth="1"/>
    <col min="522" max="522" width="0.85546875" style="35" customWidth="1"/>
    <col min="523" max="523" width="47.7109375" style="35" customWidth="1"/>
    <col min="524" max="524" width="10" style="35" customWidth="1"/>
    <col min="525" max="525" width="15.42578125" style="35" bestFit="1" customWidth="1"/>
    <col min="526" max="526" width="21.28515625" style="35" bestFit="1" customWidth="1"/>
    <col min="527" max="527" width="19.7109375" style="35" bestFit="1" customWidth="1"/>
    <col min="528" max="529" width="26.7109375" style="35" customWidth="1"/>
    <col min="530" max="722" width="10.42578125" style="35"/>
    <col min="723" max="723" width="14.5703125" style="35" bestFit="1" customWidth="1"/>
    <col min="724" max="724" width="15.85546875" style="35" bestFit="1" customWidth="1"/>
    <col min="725" max="725" width="20.42578125" style="35" bestFit="1" customWidth="1"/>
    <col min="726" max="726" width="22.5703125" style="35" bestFit="1" customWidth="1"/>
    <col min="727" max="727" width="20.28515625" style="35" bestFit="1" customWidth="1"/>
    <col min="728" max="728" width="0.85546875" style="35" customWidth="1"/>
    <col min="729" max="729" width="21.85546875" style="35" bestFit="1" customWidth="1"/>
    <col min="730" max="730" width="20.28515625" style="35" bestFit="1" customWidth="1"/>
    <col min="731" max="731" width="34.140625" style="35" bestFit="1" customWidth="1"/>
    <col min="732" max="732" width="6.85546875" style="35" bestFit="1" customWidth="1"/>
    <col min="733" max="733" width="13.42578125" style="35" bestFit="1" customWidth="1"/>
    <col min="734" max="734" width="18.140625" style="35" bestFit="1" customWidth="1"/>
    <col min="735" max="775" width="10.42578125" style="35"/>
    <col min="776" max="776" width="6.85546875" style="35" bestFit="1" customWidth="1"/>
    <col min="777" max="777" width="50.28515625" style="35" customWidth="1"/>
    <col min="778" max="778" width="0.85546875" style="35" customWidth="1"/>
    <col min="779" max="779" width="47.7109375" style="35" customWidth="1"/>
    <col min="780" max="780" width="10" style="35" customWidth="1"/>
    <col min="781" max="781" width="15.42578125" style="35" bestFit="1" customWidth="1"/>
    <col min="782" max="782" width="21.28515625" style="35" bestFit="1" customWidth="1"/>
    <col min="783" max="783" width="19.7109375" style="35" bestFit="1" customWidth="1"/>
    <col min="784" max="785" width="26.7109375" style="35" customWidth="1"/>
    <col min="786" max="978" width="10.42578125" style="35"/>
    <col min="979" max="979" width="14.5703125" style="35" bestFit="1" customWidth="1"/>
    <col min="980" max="980" width="15.85546875" style="35" bestFit="1" customWidth="1"/>
    <col min="981" max="981" width="20.42578125" style="35" bestFit="1" customWidth="1"/>
    <col min="982" max="982" width="22.5703125" style="35" bestFit="1" customWidth="1"/>
    <col min="983" max="983" width="20.28515625" style="35" bestFit="1" customWidth="1"/>
    <col min="984" max="984" width="0.85546875" style="35" customWidth="1"/>
    <col min="985" max="985" width="21.85546875" style="35" bestFit="1" customWidth="1"/>
    <col min="986" max="986" width="20.28515625" style="35" bestFit="1" customWidth="1"/>
    <col min="987" max="987" width="34.140625" style="35" bestFit="1" customWidth="1"/>
    <col min="988" max="988" width="6.85546875" style="35" bestFit="1" customWidth="1"/>
    <col min="989" max="989" width="13.42578125" style="35" bestFit="1" customWidth="1"/>
    <col min="990" max="990" width="18.140625" style="35" bestFit="1" customWidth="1"/>
    <col min="991" max="1031" width="10.42578125" style="35"/>
    <col min="1032" max="1032" width="6.85546875" style="35" bestFit="1" customWidth="1"/>
    <col min="1033" max="1033" width="50.28515625" style="35" customWidth="1"/>
    <col min="1034" max="1034" width="0.85546875" style="35" customWidth="1"/>
    <col min="1035" max="1035" width="47.7109375" style="35" customWidth="1"/>
    <col min="1036" max="1036" width="10" style="35" customWidth="1"/>
    <col min="1037" max="1037" width="15.42578125" style="35" bestFit="1" customWidth="1"/>
    <col min="1038" max="1038" width="21.28515625" style="35" bestFit="1" customWidth="1"/>
    <col min="1039" max="1039" width="19.7109375" style="35" bestFit="1" customWidth="1"/>
    <col min="1040" max="1041" width="26.7109375" style="35" customWidth="1"/>
    <col min="1042" max="1234" width="10.42578125" style="35"/>
    <col min="1235" max="1235" width="14.5703125" style="35" bestFit="1" customWidth="1"/>
    <col min="1236" max="1236" width="15.85546875" style="35" bestFit="1" customWidth="1"/>
    <col min="1237" max="1237" width="20.42578125" style="35" bestFit="1" customWidth="1"/>
    <col min="1238" max="1238" width="22.5703125" style="35" bestFit="1" customWidth="1"/>
    <col min="1239" max="1239" width="20.28515625" style="35" bestFit="1" customWidth="1"/>
    <col min="1240" max="1240" width="0.85546875" style="35" customWidth="1"/>
    <col min="1241" max="1241" width="21.85546875" style="35" bestFit="1" customWidth="1"/>
    <col min="1242" max="1242" width="20.28515625" style="35" bestFit="1" customWidth="1"/>
    <col min="1243" max="1243" width="34.140625" style="35" bestFit="1" customWidth="1"/>
    <col min="1244" max="1244" width="6.85546875" style="35" bestFit="1" customWidth="1"/>
    <col min="1245" max="1245" width="13.42578125" style="35" bestFit="1" customWidth="1"/>
    <col min="1246" max="1246" width="18.140625" style="35" bestFit="1" customWidth="1"/>
    <col min="1247" max="1287" width="10.42578125" style="35"/>
    <col min="1288" max="1288" width="6.85546875" style="35" bestFit="1" customWidth="1"/>
    <col min="1289" max="1289" width="50.28515625" style="35" customWidth="1"/>
    <col min="1290" max="1290" width="0.85546875" style="35" customWidth="1"/>
    <col min="1291" max="1291" width="47.7109375" style="35" customWidth="1"/>
    <col min="1292" max="1292" width="10" style="35" customWidth="1"/>
    <col min="1293" max="1293" width="15.42578125" style="35" bestFit="1" customWidth="1"/>
    <col min="1294" max="1294" width="21.28515625" style="35" bestFit="1" customWidth="1"/>
    <col min="1295" max="1295" width="19.7109375" style="35" bestFit="1" customWidth="1"/>
    <col min="1296" max="1297" width="26.7109375" style="35" customWidth="1"/>
    <col min="1298" max="1490" width="10.42578125" style="35"/>
    <col min="1491" max="1491" width="14.5703125" style="35" bestFit="1" customWidth="1"/>
    <col min="1492" max="1492" width="15.85546875" style="35" bestFit="1" customWidth="1"/>
    <col min="1493" max="1493" width="20.42578125" style="35" bestFit="1" customWidth="1"/>
    <col min="1494" max="1494" width="22.5703125" style="35" bestFit="1" customWidth="1"/>
    <col min="1495" max="1495" width="20.28515625" style="35" bestFit="1" customWidth="1"/>
    <col min="1496" max="1496" width="0.85546875" style="35" customWidth="1"/>
    <col min="1497" max="1497" width="21.85546875" style="35" bestFit="1" customWidth="1"/>
    <col min="1498" max="1498" width="20.28515625" style="35" bestFit="1" customWidth="1"/>
    <col min="1499" max="1499" width="34.140625" style="35" bestFit="1" customWidth="1"/>
    <col min="1500" max="1500" width="6.85546875" style="35" bestFit="1" customWidth="1"/>
    <col min="1501" max="1501" width="13.42578125" style="35" bestFit="1" customWidth="1"/>
    <col min="1502" max="1502" width="18.140625" style="35" bestFit="1" customWidth="1"/>
    <col min="1503" max="1543" width="10.42578125" style="35"/>
    <col min="1544" max="1544" width="6.85546875" style="35" bestFit="1" customWidth="1"/>
    <col min="1545" max="1545" width="50.28515625" style="35" customWidth="1"/>
    <col min="1546" max="1546" width="0.85546875" style="35" customWidth="1"/>
    <col min="1547" max="1547" width="47.7109375" style="35" customWidth="1"/>
    <col min="1548" max="1548" width="10" style="35" customWidth="1"/>
    <col min="1549" max="1549" width="15.42578125" style="35" bestFit="1" customWidth="1"/>
    <col min="1550" max="1550" width="21.28515625" style="35" bestFit="1" customWidth="1"/>
    <col min="1551" max="1551" width="19.7109375" style="35" bestFit="1" customWidth="1"/>
    <col min="1552" max="1553" width="26.7109375" style="35" customWidth="1"/>
    <col min="1554" max="1746" width="10.42578125" style="35"/>
    <col min="1747" max="1747" width="14.5703125" style="35" bestFit="1" customWidth="1"/>
    <col min="1748" max="1748" width="15.85546875" style="35" bestFit="1" customWidth="1"/>
    <col min="1749" max="1749" width="20.42578125" style="35" bestFit="1" customWidth="1"/>
    <col min="1750" max="1750" width="22.5703125" style="35" bestFit="1" customWidth="1"/>
    <col min="1751" max="1751" width="20.28515625" style="35" bestFit="1" customWidth="1"/>
    <col min="1752" max="1752" width="0.85546875" style="35" customWidth="1"/>
    <col min="1753" max="1753" width="21.85546875" style="35" bestFit="1" customWidth="1"/>
    <col min="1754" max="1754" width="20.28515625" style="35" bestFit="1" customWidth="1"/>
    <col min="1755" max="1755" width="34.140625" style="35" bestFit="1" customWidth="1"/>
    <col min="1756" max="1756" width="6.85546875" style="35" bestFit="1" customWidth="1"/>
    <col min="1757" max="1757" width="13.42578125" style="35" bestFit="1" customWidth="1"/>
    <col min="1758" max="1758" width="18.140625" style="35" bestFit="1" customWidth="1"/>
    <col min="1759" max="1799" width="10.42578125" style="35"/>
    <col min="1800" max="1800" width="6.85546875" style="35" bestFit="1" customWidth="1"/>
    <col min="1801" max="1801" width="50.28515625" style="35" customWidth="1"/>
    <col min="1802" max="1802" width="0.85546875" style="35" customWidth="1"/>
    <col min="1803" max="1803" width="47.7109375" style="35" customWidth="1"/>
    <col min="1804" max="1804" width="10" style="35" customWidth="1"/>
    <col min="1805" max="1805" width="15.42578125" style="35" bestFit="1" customWidth="1"/>
    <col min="1806" max="1806" width="21.28515625" style="35" bestFit="1" customWidth="1"/>
    <col min="1807" max="1807" width="19.7109375" style="35" bestFit="1" customWidth="1"/>
    <col min="1808" max="1809" width="26.7109375" style="35" customWidth="1"/>
    <col min="1810" max="2002" width="10.42578125" style="35"/>
    <col min="2003" max="2003" width="14.5703125" style="35" bestFit="1" customWidth="1"/>
    <col min="2004" max="2004" width="15.85546875" style="35" bestFit="1" customWidth="1"/>
    <col min="2005" max="2005" width="20.42578125" style="35" bestFit="1" customWidth="1"/>
    <col min="2006" max="2006" width="22.5703125" style="35" bestFit="1" customWidth="1"/>
    <col min="2007" max="2007" width="20.28515625" style="35" bestFit="1" customWidth="1"/>
    <col min="2008" max="2008" width="0.85546875" style="35" customWidth="1"/>
    <col min="2009" max="2009" width="21.85546875" style="35" bestFit="1" customWidth="1"/>
    <col min="2010" max="2010" width="20.28515625" style="35" bestFit="1" customWidth="1"/>
    <col min="2011" max="2011" width="34.140625" style="35" bestFit="1" customWidth="1"/>
    <col min="2012" max="2012" width="6.85546875" style="35" bestFit="1" customWidth="1"/>
    <col min="2013" max="2013" width="13.42578125" style="35" bestFit="1" customWidth="1"/>
    <col min="2014" max="2014" width="18.140625" style="35" bestFit="1" customWidth="1"/>
    <col min="2015" max="2055" width="10.42578125" style="35"/>
    <col min="2056" max="2056" width="6.85546875" style="35" bestFit="1" customWidth="1"/>
    <col min="2057" max="2057" width="50.28515625" style="35" customWidth="1"/>
    <col min="2058" max="2058" width="0.85546875" style="35" customWidth="1"/>
    <col min="2059" max="2059" width="47.7109375" style="35" customWidth="1"/>
    <col min="2060" max="2060" width="10" style="35" customWidth="1"/>
    <col min="2061" max="2061" width="15.42578125" style="35" bestFit="1" customWidth="1"/>
    <col min="2062" max="2062" width="21.28515625" style="35" bestFit="1" customWidth="1"/>
    <col min="2063" max="2063" width="19.7109375" style="35" bestFit="1" customWidth="1"/>
    <col min="2064" max="2065" width="26.7109375" style="35" customWidth="1"/>
    <col min="2066" max="2258" width="10.42578125" style="35"/>
    <col min="2259" max="2259" width="14.5703125" style="35" bestFit="1" customWidth="1"/>
    <col min="2260" max="2260" width="15.85546875" style="35" bestFit="1" customWidth="1"/>
    <col min="2261" max="2261" width="20.42578125" style="35" bestFit="1" customWidth="1"/>
    <col min="2262" max="2262" width="22.5703125" style="35" bestFit="1" customWidth="1"/>
    <col min="2263" max="2263" width="20.28515625" style="35" bestFit="1" customWidth="1"/>
    <col min="2264" max="2264" width="0.85546875" style="35" customWidth="1"/>
    <col min="2265" max="2265" width="21.85546875" style="35" bestFit="1" customWidth="1"/>
    <col min="2266" max="2266" width="20.28515625" style="35" bestFit="1" customWidth="1"/>
    <col min="2267" max="2267" width="34.140625" style="35" bestFit="1" customWidth="1"/>
    <col min="2268" max="2268" width="6.85546875" style="35" bestFit="1" customWidth="1"/>
    <col min="2269" max="2269" width="13.42578125" style="35" bestFit="1" customWidth="1"/>
    <col min="2270" max="2270" width="18.140625" style="35" bestFit="1" customWidth="1"/>
    <col min="2271" max="2311" width="10.42578125" style="35"/>
    <col min="2312" max="2312" width="6.85546875" style="35" bestFit="1" customWidth="1"/>
    <col min="2313" max="2313" width="50.28515625" style="35" customWidth="1"/>
    <col min="2314" max="2314" width="0.85546875" style="35" customWidth="1"/>
    <col min="2315" max="2315" width="47.7109375" style="35" customWidth="1"/>
    <col min="2316" max="2316" width="10" style="35" customWidth="1"/>
    <col min="2317" max="2317" width="15.42578125" style="35" bestFit="1" customWidth="1"/>
    <col min="2318" max="2318" width="21.28515625" style="35" bestFit="1" customWidth="1"/>
    <col min="2319" max="2319" width="19.7109375" style="35" bestFit="1" customWidth="1"/>
    <col min="2320" max="2321" width="26.7109375" style="35" customWidth="1"/>
    <col min="2322" max="2514" width="10.42578125" style="35"/>
    <col min="2515" max="2515" width="14.5703125" style="35" bestFit="1" customWidth="1"/>
    <col min="2516" max="2516" width="15.85546875" style="35" bestFit="1" customWidth="1"/>
    <col min="2517" max="2517" width="20.42578125" style="35" bestFit="1" customWidth="1"/>
    <col min="2518" max="2518" width="22.5703125" style="35" bestFit="1" customWidth="1"/>
    <col min="2519" max="2519" width="20.28515625" style="35" bestFit="1" customWidth="1"/>
    <col min="2520" max="2520" width="0.85546875" style="35" customWidth="1"/>
    <col min="2521" max="2521" width="21.85546875" style="35" bestFit="1" customWidth="1"/>
    <col min="2522" max="2522" width="20.28515625" style="35" bestFit="1" customWidth="1"/>
    <col min="2523" max="2523" width="34.140625" style="35" bestFit="1" customWidth="1"/>
    <col min="2524" max="2524" width="6.85546875" style="35" bestFit="1" customWidth="1"/>
    <col min="2525" max="2525" width="13.42578125" style="35" bestFit="1" customWidth="1"/>
    <col min="2526" max="2526" width="18.140625" style="35" bestFit="1" customWidth="1"/>
    <col min="2527" max="2567" width="10.42578125" style="35"/>
    <col min="2568" max="2568" width="6.85546875" style="35" bestFit="1" customWidth="1"/>
    <col min="2569" max="2569" width="50.28515625" style="35" customWidth="1"/>
    <col min="2570" max="2570" width="0.85546875" style="35" customWidth="1"/>
    <col min="2571" max="2571" width="47.7109375" style="35" customWidth="1"/>
    <col min="2572" max="2572" width="10" style="35" customWidth="1"/>
    <col min="2573" max="2573" width="15.42578125" style="35" bestFit="1" customWidth="1"/>
    <col min="2574" max="2574" width="21.28515625" style="35" bestFit="1" customWidth="1"/>
    <col min="2575" max="2575" width="19.7109375" style="35" bestFit="1" customWidth="1"/>
    <col min="2576" max="2577" width="26.7109375" style="35" customWidth="1"/>
    <col min="2578" max="2770" width="10.42578125" style="35"/>
    <col min="2771" max="2771" width="14.5703125" style="35" bestFit="1" customWidth="1"/>
    <col min="2772" max="2772" width="15.85546875" style="35" bestFit="1" customWidth="1"/>
    <col min="2773" max="2773" width="20.42578125" style="35" bestFit="1" customWidth="1"/>
    <col min="2774" max="2774" width="22.5703125" style="35" bestFit="1" customWidth="1"/>
    <col min="2775" max="2775" width="20.28515625" style="35" bestFit="1" customWidth="1"/>
    <col min="2776" max="2776" width="0.85546875" style="35" customWidth="1"/>
    <col min="2777" max="2777" width="21.85546875" style="35" bestFit="1" customWidth="1"/>
    <col min="2778" max="2778" width="20.28515625" style="35" bestFit="1" customWidth="1"/>
    <col min="2779" max="2779" width="34.140625" style="35" bestFit="1" customWidth="1"/>
    <col min="2780" max="2780" width="6.85546875" style="35" bestFit="1" customWidth="1"/>
    <col min="2781" max="2781" width="13.42578125" style="35" bestFit="1" customWidth="1"/>
    <col min="2782" max="2782" width="18.140625" style="35" bestFit="1" customWidth="1"/>
    <col min="2783" max="2823" width="10.42578125" style="35"/>
    <col min="2824" max="2824" width="6.85546875" style="35" bestFit="1" customWidth="1"/>
    <col min="2825" max="2825" width="50.28515625" style="35" customWidth="1"/>
    <col min="2826" max="2826" width="0.85546875" style="35" customWidth="1"/>
    <col min="2827" max="2827" width="47.7109375" style="35" customWidth="1"/>
    <col min="2828" max="2828" width="10" style="35" customWidth="1"/>
    <col min="2829" max="2829" width="15.42578125" style="35" bestFit="1" customWidth="1"/>
    <col min="2830" max="2830" width="21.28515625" style="35" bestFit="1" customWidth="1"/>
    <col min="2831" max="2831" width="19.7109375" style="35" bestFit="1" customWidth="1"/>
    <col min="2832" max="2833" width="26.7109375" style="35" customWidth="1"/>
    <col min="2834" max="3026" width="10.42578125" style="35"/>
    <col min="3027" max="3027" width="14.5703125" style="35" bestFit="1" customWidth="1"/>
    <col min="3028" max="3028" width="15.85546875" style="35" bestFit="1" customWidth="1"/>
    <col min="3029" max="3029" width="20.42578125" style="35" bestFit="1" customWidth="1"/>
    <col min="3030" max="3030" width="22.5703125" style="35" bestFit="1" customWidth="1"/>
    <col min="3031" max="3031" width="20.28515625" style="35" bestFit="1" customWidth="1"/>
    <col min="3032" max="3032" width="0.85546875" style="35" customWidth="1"/>
    <col min="3033" max="3033" width="21.85546875" style="35" bestFit="1" customWidth="1"/>
    <col min="3034" max="3034" width="20.28515625" style="35" bestFit="1" customWidth="1"/>
    <col min="3035" max="3035" width="34.140625" style="35" bestFit="1" customWidth="1"/>
    <col min="3036" max="3036" width="6.85546875" style="35" bestFit="1" customWidth="1"/>
    <col min="3037" max="3037" width="13.42578125" style="35" bestFit="1" customWidth="1"/>
    <col min="3038" max="3038" width="18.140625" style="35" bestFit="1" customWidth="1"/>
    <col min="3039" max="3079" width="10.42578125" style="35"/>
    <col min="3080" max="3080" width="6.85546875" style="35" bestFit="1" customWidth="1"/>
    <col min="3081" max="3081" width="50.28515625" style="35" customWidth="1"/>
    <col min="3082" max="3082" width="0.85546875" style="35" customWidth="1"/>
    <col min="3083" max="3083" width="47.7109375" style="35" customWidth="1"/>
    <col min="3084" max="3084" width="10" style="35" customWidth="1"/>
    <col min="3085" max="3085" width="15.42578125" style="35" bestFit="1" customWidth="1"/>
    <col min="3086" max="3086" width="21.28515625" style="35" bestFit="1" customWidth="1"/>
    <col min="3087" max="3087" width="19.7109375" style="35" bestFit="1" customWidth="1"/>
    <col min="3088" max="3089" width="26.7109375" style="35" customWidth="1"/>
    <col min="3090" max="3282" width="10.42578125" style="35"/>
    <col min="3283" max="3283" width="14.5703125" style="35" bestFit="1" customWidth="1"/>
    <col min="3284" max="3284" width="15.85546875" style="35" bestFit="1" customWidth="1"/>
    <col min="3285" max="3285" width="20.42578125" style="35" bestFit="1" customWidth="1"/>
    <col min="3286" max="3286" width="22.5703125" style="35" bestFit="1" customWidth="1"/>
    <col min="3287" max="3287" width="20.28515625" style="35" bestFit="1" customWidth="1"/>
    <col min="3288" max="3288" width="0.85546875" style="35" customWidth="1"/>
    <col min="3289" max="3289" width="21.85546875" style="35" bestFit="1" customWidth="1"/>
    <col min="3290" max="3290" width="20.28515625" style="35" bestFit="1" customWidth="1"/>
    <col min="3291" max="3291" width="34.140625" style="35" bestFit="1" customWidth="1"/>
    <col min="3292" max="3292" width="6.85546875" style="35" bestFit="1" customWidth="1"/>
    <col min="3293" max="3293" width="13.42578125" style="35" bestFit="1" customWidth="1"/>
    <col min="3294" max="3294" width="18.140625" style="35" bestFit="1" customWidth="1"/>
    <col min="3295" max="3335" width="10.42578125" style="35"/>
    <col min="3336" max="3336" width="6.85546875" style="35" bestFit="1" customWidth="1"/>
    <col min="3337" max="3337" width="50.28515625" style="35" customWidth="1"/>
    <col min="3338" max="3338" width="0.85546875" style="35" customWidth="1"/>
    <col min="3339" max="3339" width="47.7109375" style="35" customWidth="1"/>
    <col min="3340" max="3340" width="10" style="35" customWidth="1"/>
    <col min="3341" max="3341" width="15.42578125" style="35" bestFit="1" customWidth="1"/>
    <col min="3342" max="3342" width="21.28515625" style="35" bestFit="1" customWidth="1"/>
    <col min="3343" max="3343" width="19.7109375" style="35" bestFit="1" customWidth="1"/>
    <col min="3344" max="3345" width="26.7109375" style="35" customWidth="1"/>
    <col min="3346" max="3538" width="10.42578125" style="35"/>
    <col min="3539" max="3539" width="14.5703125" style="35" bestFit="1" customWidth="1"/>
    <col min="3540" max="3540" width="15.85546875" style="35" bestFit="1" customWidth="1"/>
    <col min="3541" max="3541" width="20.42578125" style="35" bestFit="1" customWidth="1"/>
    <col min="3542" max="3542" width="22.5703125" style="35" bestFit="1" customWidth="1"/>
    <col min="3543" max="3543" width="20.28515625" style="35" bestFit="1" customWidth="1"/>
    <col min="3544" max="3544" width="0.85546875" style="35" customWidth="1"/>
    <col min="3545" max="3545" width="21.85546875" style="35" bestFit="1" customWidth="1"/>
    <col min="3546" max="3546" width="20.28515625" style="35" bestFit="1" customWidth="1"/>
    <col min="3547" max="3547" width="34.140625" style="35" bestFit="1" customWidth="1"/>
    <col min="3548" max="3548" width="6.85546875" style="35" bestFit="1" customWidth="1"/>
    <col min="3549" max="3549" width="13.42578125" style="35" bestFit="1" customWidth="1"/>
    <col min="3550" max="3550" width="18.140625" style="35" bestFit="1" customWidth="1"/>
    <col min="3551" max="3591" width="10.42578125" style="35"/>
    <col min="3592" max="3592" width="6.85546875" style="35" bestFit="1" customWidth="1"/>
    <col min="3593" max="3593" width="50.28515625" style="35" customWidth="1"/>
    <col min="3594" max="3594" width="0.85546875" style="35" customWidth="1"/>
    <col min="3595" max="3595" width="47.7109375" style="35" customWidth="1"/>
    <col min="3596" max="3596" width="10" style="35" customWidth="1"/>
    <col min="3597" max="3597" width="15.42578125" style="35" bestFit="1" customWidth="1"/>
    <col min="3598" max="3598" width="21.28515625" style="35" bestFit="1" customWidth="1"/>
    <col min="3599" max="3599" width="19.7109375" style="35" bestFit="1" customWidth="1"/>
    <col min="3600" max="3601" width="26.7109375" style="35" customWidth="1"/>
    <col min="3602" max="3794" width="10.42578125" style="35"/>
    <col min="3795" max="3795" width="14.5703125" style="35" bestFit="1" customWidth="1"/>
    <col min="3796" max="3796" width="15.85546875" style="35" bestFit="1" customWidth="1"/>
    <col min="3797" max="3797" width="20.42578125" style="35" bestFit="1" customWidth="1"/>
    <col min="3798" max="3798" width="22.5703125" style="35" bestFit="1" customWidth="1"/>
    <col min="3799" max="3799" width="20.28515625" style="35" bestFit="1" customWidth="1"/>
    <col min="3800" max="3800" width="0.85546875" style="35" customWidth="1"/>
    <col min="3801" max="3801" width="21.85546875" style="35" bestFit="1" customWidth="1"/>
    <col min="3802" max="3802" width="20.28515625" style="35" bestFit="1" customWidth="1"/>
    <col min="3803" max="3803" width="34.140625" style="35" bestFit="1" customWidth="1"/>
    <col min="3804" max="3804" width="6.85546875" style="35" bestFit="1" customWidth="1"/>
    <col min="3805" max="3805" width="13.42578125" style="35" bestFit="1" customWidth="1"/>
    <col min="3806" max="3806" width="18.140625" style="35" bestFit="1" customWidth="1"/>
    <col min="3807" max="3847" width="10.42578125" style="35"/>
    <col min="3848" max="3848" width="6.85546875" style="35" bestFit="1" customWidth="1"/>
    <col min="3849" max="3849" width="50.28515625" style="35" customWidth="1"/>
    <col min="3850" max="3850" width="0.85546875" style="35" customWidth="1"/>
    <col min="3851" max="3851" width="47.7109375" style="35" customWidth="1"/>
    <col min="3852" max="3852" width="10" style="35" customWidth="1"/>
    <col min="3853" max="3853" width="15.42578125" style="35" bestFit="1" customWidth="1"/>
    <col min="3854" max="3854" width="21.28515625" style="35" bestFit="1" customWidth="1"/>
    <col min="3855" max="3855" width="19.7109375" style="35" bestFit="1" customWidth="1"/>
    <col min="3856" max="3857" width="26.7109375" style="35" customWidth="1"/>
    <col min="3858" max="4050" width="10.42578125" style="35"/>
    <col min="4051" max="4051" width="14.5703125" style="35" bestFit="1" customWidth="1"/>
    <col min="4052" max="4052" width="15.85546875" style="35" bestFit="1" customWidth="1"/>
    <col min="4053" max="4053" width="20.42578125" style="35" bestFit="1" customWidth="1"/>
    <col min="4054" max="4054" width="22.5703125" style="35" bestFit="1" customWidth="1"/>
    <col min="4055" max="4055" width="20.28515625" style="35" bestFit="1" customWidth="1"/>
    <col min="4056" max="4056" width="0.85546875" style="35" customWidth="1"/>
    <col min="4057" max="4057" width="21.85546875" style="35" bestFit="1" customWidth="1"/>
    <col min="4058" max="4058" width="20.28515625" style="35" bestFit="1" customWidth="1"/>
    <col min="4059" max="4059" width="34.140625" style="35" bestFit="1" customWidth="1"/>
    <col min="4060" max="4060" width="6.85546875" style="35" bestFit="1" customWidth="1"/>
    <col min="4061" max="4061" width="13.42578125" style="35" bestFit="1" customWidth="1"/>
    <col min="4062" max="4062" width="18.140625" style="35" bestFit="1" customWidth="1"/>
    <col min="4063" max="4103" width="10.42578125" style="35"/>
    <col min="4104" max="4104" width="6.85546875" style="35" bestFit="1" customWidth="1"/>
    <col min="4105" max="4105" width="50.28515625" style="35" customWidth="1"/>
    <col min="4106" max="4106" width="0.85546875" style="35" customWidth="1"/>
    <col min="4107" max="4107" width="47.7109375" style="35" customWidth="1"/>
    <col min="4108" max="4108" width="10" style="35" customWidth="1"/>
    <col min="4109" max="4109" width="15.42578125" style="35" bestFit="1" customWidth="1"/>
    <col min="4110" max="4110" width="21.28515625" style="35" bestFit="1" customWidth="1"/>
    <col min="4111" max="4111" width="19.7109375" style="35" bestFit="1" customWidth="1"/>
    <col min="4112" max="4113" width="26.7109375" style="35" customWidth="1"/>
    <col min="4114" max="4306" width="10.42578125" style="35"/>
    <col min="4307" max="4307" width="14.5703125" style="35" bestFit="1" customWidth="1"/>
    <col min="4308" max="4308" width="15.85546875" style="35" bestFit="1" customWidth="1"/>
    <col min="4309" max="4309" width="20.42578125" style="35" bestFit="1" customWidth="1"/>
    <col min="4310" max="4310" width="22.5703125" style="35" bestFit="1" customWidth="1"/>
    <col min="4311" max="4311" width="20.28515625" style="35" bestFit="1" customWidth="1"/>
    <col min="4312" max="4312" width="0.85546875" style="35" customWidth="1"/>
    <col min="4313" max="4313" width="21.85546875" style="35" bestFit="1" customWidth="1"/>
    <col min="4314" max="4314" width="20.28515625" style="35" bestFit="1" customWidth="1"/>
    <col min="4315" max="4315" width="34.140625" style="35" bestFit="1" customWidth="1"/>
    <col min="4316" max="4316" width="6.85546875" style="35" bestFit="1" customWidth="1"/>
    <col min="4317" max="4317" width="13.42578125" style="35" bestFit="1" customWidth="1"/>
    <col min="4318" max="4318" width="18.140625" style="35" bestFit="1" customWidth="1"/>
    <col min="4319" max="4359" width="10.42578125" style="35"/>
    <col min="4360" max="4360" width="6.85546875" style="35" bestFit="1" customWidth="1"/>
    <col min="4361" max="4361" width="50.28515625" style="35" customWidth="1"/>
    <col min="4362" max="4362" width="0.85546875" style="35" customWidth="1"/>
    <col min="4363" max="4363" width="47.7109375" style="35" customWidth="1"/>
    <col min="4364" max="4364" width="10" style="35" customWidth="1"/>
    <col min="4365" max="4365" width="15.42578125" style="35" bestFit="1" customWidth="1"/>
    <col min="4366" max="4366" width="21.28515625" style="35" bestFit="1" customWidth="1"/>
    <col min="4367" max="4367" width="19.7109375" style="35" bestFit="1" customWidth="1"/>
    <col min="4368" max="4369" width="26.7109375" style="35" customWidth="1"/>
    <col min="4370" max="4562" width="10.42578125" style="35"/>
    <col min="4563" max="4563" width="14.5703125" style="35" bestFit="1" customWidth="1"/>
    <col min="4564" max="4564" width="15.85546875" style="35" bestFit="1" customWidth="1"/>
    <col min="4565" max="4565" width="20.42578125" style="35" bestFit="1" customWidth="1"/>
    <col min="4566" max="4566" width="22.5703125" style="35" bestFit="1" customWidth="1"/>
    <col min="4567" max="4567" width="20.28515625" style="35" bestFit="1" customWidth="1"/>
    <col min="4568" max="4568" width="0.85546875" style="35" customWidth="1"/>
    <col min="4569" max="4569" width="21.85546875" style="35" bestFit="1" customWidth="1"/>
    <col min="4570" max="4570" width="20.28515625" style="35" bestFit="1" customWidth="1"/>
    <col min="4571" max="4571" width="34.140625" style="35" bestFit="1" customWidth="1"/>
    <col min="4572" max="4572" width="6.85546875" style="35" bestFit="1" customWidth="1"/>
    <col min="4573" max="4573" width="13.42578125" style="35" bestFit="1" customWidth="1"/>
    <col min="4574" max="4574" width="18.140625" style="35" bestFit="1" customWidth="1"/>
    <col min="4575" max="4615" width="10.42578125" style="35"/>
    <col min="4616" max="4616" width="6.85546875" style="35" bestFit="1" customWidth="1"/>
    <col min="4617" max="4617" width="50.28515625" style="35" customWidth="1"/>
    <col min="4618" max="4618" width="0.85546875" style="35" customWidth="1"/>
    <col min="4619" max="4619" width="47.7109375" style="35" customWidth="1"/>
    <col min="4620" max="4620" width="10" style="35" customWidth="1"/>
    <col min="4621" max="4621" width="15.42578125" style="35" bestFit="1" customWidth="1"/>
    <col min="4622" max="4622" width="21.28515625" style="35" bestFit="1" customWidth="1"/>
    <col min="4623" max="4623" width="19.7109375" style="35" bestFit="1" customWidth="1"/>
    <col min="4624" max="4625" width="26.7109375" style="35" customWidth="1"/>
    <col min="4626" max="4818" width="10.42578125" style="35"/>
    <col min="4819" max="4819" width="14.5703125" style="35" bestFit="1" customWidth="1"/>
    <col min="4820" max="4820" width="15.85546875" style="35" bestFit="1" customWidth="1"/>
    <col min="4821" max="4821" width="20.42578125" style="35" bestFit="1" customWidth="1"/>
    <col min="4822" max="4822" width="22.5703125" style="35" bestFit="1" customWidth="1"/>
    <col min="4823" max="4823" width="20.28515625" style="35" bestFit="1" customWidth="1"/>
    <col min="4824" max="4824" width="0.85546875" style="35" customWidth="1"/>
    <col min="4825" max="4825" width="21.85546875" style="35" bestFit="1" customWidth="1"/>
    <col min="4826" max="4826" width="20.28515625" style="35" bestFit="1" customWidth="1"/>
    <col min="4827" max="4827" width="34.140625" style="35" bestFit="1" customWidth="1"/>
    <col min="4828" max="4828" width="6.85546875" style="35" bestFit="1" customWidth="1"/>
    <col min="4829" max="4829" width="13.42578125" style="35" bestFit="1" customWidth="1"/>
    <col min="4830" max="4830" width="18.140625" style="35" bestFit="1" customWidth="1"/>
    <col min="4831" max="4871" width="10.42578125" style="35"/>
    <col min="4872" max="4872" width="6.85546875" style="35" bestFit="1" customWidth="1"/>
    <col min="4873" max="4873" width="50.28515625" style="35" customWidth="1"/>
    <col min="4874" max="4874" width="0.85546875" style="35" customWidth="1"/>
    <col min="4875" max="4875" width="47.7109375" style="35" customWidth="1"/>
    <col min="4876" max="4876" width="10" style="35" customWidth="1"/>
    <col min="4877" max="4877" width="15.42578125" style="35" bestFit="1" customWidth="1"/>
    <col min="4878" max="4878" width="21.28515625" style="35" bestFit="1" customWidth="1"/>
    <col min="4879" max="4879" width="19.7109375" style="35" bestFit="1" customWidth="1"/>
    <col min="4880" max="4881" width="26.7109375" style="35" customWidth="1"/>
    <col min="4882" max="5074" width="10.42578125" style="35"/>
    <col min="5075" max="5075" width="14.5703125" style="35" bestFit="1" customWidth="1"/>
    <col min="5076" max="5076" width="15.85546875" style="35" bestFit="1" customWidth="1"/>
    <col min="5077" max="5077" width="20.42578125" style="35" bestFit="1" customWidth="1"/>
    <col min="5078" max="5078" width="22.5703125" style="35" bestFit="1" customWidth="1"/>
    <col min="5079" max="5079" width="20.28515625" style="35" bestFit="1" customWidth="1"/>
    <col min="5080" max="5080" width="0.85546875" style="35" customWidth="1"/>
    <col min="5081" max="5081" width="21.85546875" style="35" bestFit="1" customWidth="1"/>
    <col min="5082" max="5082" width="20.28515625" style="35" bestFit="1" customWidth="1"/>
    <col min="5083" max="5083" width="34.140625" style="35" bestFit="1" customWidth="1"/>
    <col min="5084" max="5084" width="6.85546875" style="35" bestFit="1" customWidth="1"/>
    <col min="5085" max="5085" width="13.42578125" style="35" bestFit="1" customWidth="1"/>
    <col min="5086" max="5086" width="18.140625" style="35" bestFit="1" customWidth="1"/>
    <col min="5087" max="5127" width="10.42578125" style="35"/>
    <col min="5128" max="5128" width="6.85546875" style="35" bestFit="1" customWidth="1"/>
    <col min="5129" max="5129" width="50.28515625" style="35" customWidth="1"/>
    <col min="5130" max="5130" width="0.85546875" style="35" customWidth="1"/>
    <col min="5131" max="5131" width="47.7109375" style="35" customWidth="1"/>
    <col min="5132" max="5132" width="10" style="35" customWidth="1"/>
    <col min="5133" max="5133" width="15.42578125" style="35" bestFit="1" customWidth="1"/>
    <col min="5134" max="5134" width="21.28515625" style="35" bestFit="1" customWidth="1"/>
    <col min="5135" max="5135" width="19.7109375" style="35" bestFit="1" customWidth="1"/>
    <col min="5136" max="5137" width="26.7109375" style="35" customWidth="1"/>
    <col min="5138" max="5330" width="10.42578125" style="35"/>
    <col min="5331" max="5331" width="14.5703125" style="35" bestFit="1" customWidth="1"/>
    <col min="5332" max="5332" width="15.85546875" style="35" bestFit="1" customWidth="1"/>
    <col min="5333" max="5333" width="20.42578125" style="35" bestFit="1" customWidth="1"/>
    <col min="5334" max="5334" width="22.5703125" style="35" bestFit="1" customWidth="1"/>
    <col min="5335" max="5335" width="20.28515625" style="35" bestFit="1" customWidth="1"/>
    <col min="5336" max="5336" width="0.85546875" style="35" customWidth="1"/>
    <col min="5337" max="5337" width="21.85546875" style="35" bestFit="1" customWidth="1"/>
    <col min="5338" max="5338" width="20.28515625" style="35" bestFit="1" customWidth="1"/>
    <col min="5339" max="5339" width="34.140625" style="35" bestFit="1" customWidth="1"/>
    <col min="5340" max="5340" width="6.85546875" style="35" bestFit="1" customWidth="1"/>
    <col min="5341" max="5341" width="13.42578125" style="35" bestFit="1" customWidth="1"/>
    <col min="5342" max="5342" width="18.140625" style="35" bestFit="1" customWidth="1"/>
    <col min="5343" max="5383" width="10.42578125" style="35"/>
    <col min="5384" max="5384" width="6.85546875" style="35" bestFit="1" customWidth="1"/>
    <col min="5385" max="5385" width="50.28515625" style="35" customWidth="1"/>
    <col min="5386" max="5386" width="0.85546875" style="35" customWidth="1"/>
    <col min="5387" max="5387" width="47.7109375" style="35" customWidth="1"/>
    <col min="5388" max="5388" width="10" style="35" customWidth="1"/>
    <col min="5389" max="5389" width="15.42578125" style="35" bestFit="1" customWidth="1"/>
    <col min="5390" max="5390" width="21.28515625" style="35" bestFit="1" customWidth="1"/>
    <col min="5391" max="5391" width="19.7109375" style="35" bestFit="1" customWidth="1"/>
    <col min="5392" max="5393" width="26.7109375" style="35" customWidth="1"/>
    <col min="5394" max="5586" width="10.42578125" style="35"/>
    <col min="5587" max="5587" width="14.5703125" style="35" bestFit="1" customWidth="1"/>
    <col min="5588" max="5588" width="15.85546875" style="35" bestFit="1" customWidth="1"/>
    <col min="5589" max="5589" width="20.42578125" style="35" bestFit="1" customWidth="1"/>
    <col min="5590" max="5590" width="22.5703125" style="35" bestFit="1" customWidth="1"/>
    <col min="5591" max="5591" width="20.28515625" style="35" bestFit="1" customWidth="1"/>
    <col min="5592" max="5592" width="0.85546875" style="35" customWidth="1"/>
    <col min="5593" max="5593" width="21.85546875" style="35" bestFit="1" customWidth="1"/>
    <col min="5594" max="5594" width="20.28515625" style="35" bestFit="1" customWidth="1"/>
    <col min="5595" max="5595" width="34.140625" style="35" bestFit="1" customWidth="1"/>
    <col min="5596" max="5596" width="6.85546875" style="35" bestFit="1" customWidth="1"/>
    <col min="5597" max="5597" width="13.42578125" style="35" bestFit="1" customWidth="1"/>
    <col min="5598" max="5598" width="18.140625" style="35" bestFit="1" customWidth="1"/>
    <col min="5599" max="5639" width="10.42578125" style="35"/>
    <col min="5640" max="5640" width="6.85546875" style="35" bestFit="1" customWidth="1"/>
    <col min="5641" max="5641" width="50.28515625" style="35" customWidth="1"/>
    <col min="5642" max="5642" width="0.85546875" style="35" customWidth="1"/>
    <col min="5643" max="5643" width="47.7109375" style="35" customWidth="1"/>
    <col min="5644" max="5644" width="10" style="35" customWidth="1"/>
    <col min="5645" max="5645" width="15.42578125" style="35" bestFit="1" customWidth="1"/>
    <col min="5646" max="5646" width="21.28515625" style="35" bestFit="1" customWidth="1"/>
    <col min="5647" max="5647" width="19.7109375" style="35" bestFit="1" customWidth="1"/>
    <col min="5648" max="5649" width="26.7109375" style="35" customWidth="1"/>
    <col min="5650" max="5842" width="10.42578125" style="35"/>
    <col min="5843" max="5843" width="14.5703125" style="35" bestFit="1" customWidth="1"/>
    <col min="5844" max="5844" width="15.85546875" style="35" bestFit="1" customWidth="1"/>
    <col min="5845" max="5845" width="20.42578125" style="35" bestFit="1" customWidth="1"/>
    <col min="5846" max="5846" width="22.5703125" style="35" bestFit="1" customWidth="1"/>
    <col min="5847" max="5847" width="20.28515625" style="35" bestFit="1" customWidth="1"/>
    <col min="5848" max="5848" width="0.85546875" style="35" customWidth="1"/>
    <col min="5849" max="5849" width="21.85546875" style="35" bestFit="1" customWidth="1"/>
    <col min="5850" max="5850" width="20.28515625" style="35" bestFit="1" customWidth="1"/>
    <col min="5851" max="5851" width="34.140625" style="35" bestFit="1" customWidth="1"/>
    <col min="5852" max="5852" width="6.85546875" style="35" bestFit="1" customWidth="1"/>
    <col min="5853" max="5853" width="13.42578125" style="35" bestFit="1" customWidth="1"/>
    <col min="5854" max="5854" width="18.140625" style="35" bestFit="1" customWidth="1"/>
    <col min="5855" max="5895" width="10.42578125" style="35"/>
    <col min="5896" max="5896" width="6.85546875" style="35" bestFit="1" customWidth="1"/>
    <col min="5897" max="5897" width="50.28515625" style="35" customWidth="1"/>
    <col min="5898" max="5898" width="0.85546875" style="35" customWidth="1"/>
    <col min="5899" max="5899" width="47.7109375" style="35" customWidth="1"/>
    <col min="5900" max="5900" width="10" style="35" customWidth="1"/>
    <col min="5901" max="5901" width="15.42578125" style="35" bestFit="1" customWidth="1"/>
    <col min="5902" max="5902" width="21.28515625" style="35" bestFit="1" customWidth="1"/>
    <col min="5903" max="5903" width="19.7109375" style="35" bestFit="1" customWidth="1"/>
    <col min="5904" max="5905" width="26.7109375" style="35" customWidth="1"/>
    <col min="5906" max="6098" width="10.42578125" style="35"/>
    <col min="6099" max="6099" width="14.5703125" style="35" bestFit="1" customWidth="1"/>
    <col min="6100" max="6100" width="15.85546875" style="35" bestFit="1" customWidth="1"/>
    <col min="6101" max="6101" width="20.42578125" style="35" bestFit="1" customWidth="1"/>
    <col min="6102" max="6102" width="22.5703125" style="35" bestFit="1" customWidth="1"/>
    <col min="6103" max="6103" width="20.28515625" style="35" bestFit="1" customWidth="1"/>
    <col min="6104" max="6104" width="0.85546875" style="35" customWidth="1"/>
    <col min="6105" max="6105" width="21.85546875" style="35" bestFit="1" customWidth="1"/>
    <col min="6106" max="6106" width="20.28515625" style="35" bestFit="1" customWidth="1"/>
    <col min="6107" max="6107" width="34.140625" style="35" bestFit="1" customWidth="1"/>
    <col min="6108" max="6108" width="6.85546875" style="35" bestFit="1" customWidth="1"/>
    <col min="6109" max="6109" width="13.42578125" style="35" bestFit="1" customWidth="1"/>
    <col min="6110" max="6110" width="18.140625" style="35" bestFit="1" customWidth="1"/>
    <col min="6111" max="6151" width="10.42578125" style="35"/>
    <col min="6152" max="6152" width="6.85546875" style="35" bestFit="1" customWidth="1"/>
    <col min="6153" max="6153" width="50.28515625" style="35" customWidth="1"/>
    <col min="6154" max="6154" width="0.85546875" style="35" customWidth="1"/>
    <col min="6155" max="6155" width="47.7109375" style="35" customWidth="1"/>
    <col min="6156" max="6156" width="10" style="35" customWidth="1"/>
    <col min="6157" max="6157" width="15.42578125" style="35" bestFit="1" customWidth="1"/>
    <col min="6158" max="6158" width="21.28515625" style="35" bestFit="1" customWidth="1"/>
    <col min="6159" max="6159" width="19.7109375" style="35" bestFit="1" customWidth="1"/>
    <col min="6160" max="6161" width="26.7109375" style="35" customWidth="1"/>
    <col min="6162" max="6354" width="10.42578125" style="35"/>
    <col min="6355" max="6355" width="14.5703125" style="35" bestFit="1" customWidth="1"/>
    <col min="6356" max="6356" width="15.85546875" style="35" bestFit="1" customWidth="1"/>
    <col min="6357" max="6357" width="20.42578125" style="35" bestFit="1" customWidth="1"/>
    <col min="6358" max="6358" width="22.5703125" style="35" bestFit="1" customWidth="1"/>
    <col min="6359" max="6359" width="20.28515625" style="35" bestFit="1" customWidth="1"/>
    <col min="6360" max="6360" width="0.85546875" style="35" customWidth="1"/>
    <col min="6361" max="6361" width="21.85546875" style="35" bestFit="1" customWidth="1"/>
    <col min="6362" max="6362" width="20.28515625" style="35" bestFit="1" customWidth="1"/>
    <col min="6363" max="6363" width="34.140625" style="35" bestFit="1" customWidth="1"/>
    <col min="6364" max="6364" width="6.85546875" style="35" bestFit="1" customWidth="1"/>
    <col min="6365" max="6365" width="13.42578125" style="35" bestFit="1" customWidth="1"/>
    <col min="6366" max="6366" width="18.140625" style="35" bestFit="1" customWidth="1"/>
    <col min="6367" max="6407" width="10.42578125" style="35"/>
    <col min="6408" max="6408" width="6.85546875" style="35" bestFit="1" customWidth="1"/>
    <col min="6409" max="6409" width="50.28515625" style="35" customWidth="1"/>
    <col min="6410" max="6410" width="0.85546875" style="35" customWidth="1"/>
    <col min="6411" max="6411" width="47.7109375" style="35" customWidth="1"/>
    <col min="6412" max="6412" width="10" style="35" customWidth="1"/>
    <col min="6413" max="6413" width="15.42578125" style="35" bestFit="1" customWidth="1"/>
    <col min="6414" max="6414" width="21.28515625" style="35" bestFit="1" customWidth="1"/>
    <col min="6415" max="6415" width="19.7109375" style="35" bestFit="1" customWidth="1"/>
    <col min="6416" max="6417" width="26.7109375" style="35" customWidth="1"/>
    <col min="6418" max="6610" width="10.42578125" style="35"/>
    <col min="6611" max="6611" width="14.5703125" style="35" bestFit="1" customWidth="1"/>
    <col min="6612" max="6612" width="15.85546875" style="35" bestFit="1" customWidth="1"/>
    <col min="6613" max="6613" width="20.42578125" style="35" bestFit="1" customWidth="1"/>
    <col min="6614" max="6614" width="22.5703125" style="35" bestFit="1" customWidth="1"/>
    <col min="6615" max="6615" width="20.28515625" style="35" bestFit="1" customWidth="1"/>
    <col min="6616" max="6616" width="0.85546875" style="35" customWidth="1"/>
    <col min="6617" max="6617" width="21.85546875" style="35" bestFit="1" customWidth="1"/>
    <col min="6618" max="6618" width="20.28515625" style="35" bestFit="1" customWidth="1"/>
    <col min="6619" max="6619" width="34.140625" style="35" bestFit="1" customWidth="1"/>
    <col min="6620" max="6620" width="6.85546875" style="35" bestFit="1" customWidth="1"/>
    <col min="6621" max="6621" width="13.42578125" style="35" bestFit="1" customWidth="1"/>
    <col min="6622" max="6622" width="18.140625" style="35" bestFit="1" customWidth="1"/>
    <col min="6623" max="6663" width="10.42578125" style="35"/>
    <col min="6664" max="6664" width="6.85546875" style="35" bestFit="1" customWidth="1"/>
    <col min="6665" max="6665" width="50.28515625" style="35" customWidth="1"/>
    <col min="6666" max="6666" width="0.85546875" style="35" customWidth="1"/>
    <col min="6667" max="6667" width="47.7109375" style="35" customWidth="1"/>
    <col min="6668" max="6668" width="10" style="35" customWidth="1"/>
    <col min="6669" max="6669" width="15.42578125" style="35" bestFit="1" customWidth="1"/>
    <col min="6670" max="6670" width="21.28515625" style="35" bestFit="1" customWidth="1"/>
    <col min="6671" max="6671" width="19.7109375" style="35" bestFit="1" customWidth="1"/>
    <col min="6672" max="6673" width="26.7109375" style="35" customWidth="1"/>
    <col min="6674" max="6866" width="10.42578125" style="35"/>
    <col min="6867" max="6867" width="14.5703125" style="35" bestFit="1" customWidth="1"/>
    <col min="6868" max="6868" width="15.85546875" style="35" bestFit="1" customWidth="1"/>
    <col min="6869" max="6869" width="20.42578125" style="35" bestFit="1" customWidth="1"/>
    <col min="6870" max="6870" width="22.5703125" style="35" bestFit="1" customWidth="1"/>
    <col min="6871" max="6871" width="20.28515625" style="35" bestFit="1" customWidth="1"/>
    <col min="6872" max="6872" width="0.85546875" style="35" customWidth="1"/>
    <col min="6873" max="6873" width="21.85546875" style="35" bestFit="1" customWidth="1"/>
    <col min="6874" max="6874" width="20.28515625" style="35" bestFit="1" customWidth="1"/>
    <col min="6875" max="6875" width="34.140625" style="35" bestFit="1" customWidth="1"/>
    <col min="6876" max="6876" width="6.85546875" style="35" bestFit="1" customWidth="1"/>
    <col min="6877" max="6877" width="13.42578125" style="35" bestFit="1" customWidth="1"/>
    <col min="6878" max="6878" width="18.140625" style="35" bestFit="1" customWidth="1"/>
    <col min="6879" max="6919" width="10.42578125" style="35"/>
    <col min="6920" max="6920" width="6.85546875" style="35" bestFit="1" customWidth="1"/>
    <col min="6921" max="6921" width="50.28515625" style="35" customWidth="1"/>
    <col min="6922" max="6922" width="0.85546875" style="35" customWidth="1"/>
    <col min="6923" max="6923" width="47.7109375" style="35" customWidth="1"/>
    <col min="6924" max="6924" width="10" style="35" customWidth="1"/>
    <col min="6925" max="6925" width="15.42578125" style="35" bestFit="1" customWidth="1"/>
    <col min="6926" max="6926" width="21.28515625" style="35" bestFit="1" customWidth="1"/>
    <col min="6927" max="6927" width="19.7109375" style="35" bestFit="1" customWidth="1"/>
    <col min="6928" max="6929" width="26.7109375" style="35" customWidth="1"/>
    <col min="6930" max="7122" width="10.42578125" style="35"/>
    <col min="7123" max="7123" width="14.5703125" style="35" bestFit="1" customWidth="1"/>
    <col min="7124" max="7124" width="15.85546875" style="35" bestFit="1" customWidth="1"/>
    <col min="7125" max="7125" width="20.42578125" style="35" bestFit="1" customWidth="1"/>
    <col min="7126" max="7126" width="22.5703125" style="35" bestFit="1" customWidth="1"/>
    <col min="7127" max="7127" width="20.28515625" style="35" bestFit="1" customWidth="1"/>
    <col min="7128" max="7128" width="0.85546875" style="35" customWidth="1"/>
    <col min="7129" max="7129" width="21.85546875" style="35" bestFit="1" customWidth="1"/>
    <col min="7130" max="7130" width="20.28515625" style="35" bestFit="1" customWidth="1"/>
    <col min="7131" max="7131" width="34.140625" style="35" bestFit="1" customWidth="1"/>
    <col min="7132" max="7132" width="6.85546875" style="35" bestFit="1" customWidth="1"/>
    <col min="7133" max="7133" width="13.42578125" style="35" bestFit="1" customWidth="1"/>
    <col min="7134" max="7134" width="18.140625" style="35" bestFit="1" customWidth="1"/>
    <col min="7135" max="7175" width="10.42578125" style="35"/>
    <col min="7176" max="7176" width="6.85546875" style="35" bestFit="1" customWidth="1"/>
    <col min="7177" max="7177" width="50.28515625" style="35" customWidth="1"/>
    <col min="7178" max="7178" width="0.85546875" style="35" customWidth="1"/>
    <col min="7179" max="7179" width="47.7109375" style="35" customWidth="1"/>
    <col min="7180" max="7180" width="10" style="35" customWidth="1"/>
    <col min="7181" max="7181" width="15.42578125" style="35" bestFit="1" customWidth="1"/>
    <col min="7182" max="7182" width="21.28515625" style="35" bestFit="1" customWidth="1"/>
    <col min="7183" max="7183" width="19.7109375" style="35" bestFit="1" customWidth="1"/>
    <col min="7184" max="7185" width="26.7109375" style="35" customWidth="1"/>
    <col min="7186" max="7378" width="10.42578125" style="35"/>
    <col min="7379" max="7379" width="14.5703125" style="35" bestFit="1" customWidth="1"/>
    <col min="7380" max="7380" width="15.85546875" style="35" bestFit="1" customWidth="1"/>
    <col min="7381" max="7381" width="20.42578125" style="35" bestFit="1" customWidth="1"/>
    <col min="7382" max="7382" width="22.5703125" style="35" bestFit="1" customWidth="1"/>
    <col min="7383" max="7383" width="20.28515625" style="35" bestFit="1" customWidth="1"/>
    <col min="7384" max="7384" width="0.85546875" style="35" customWidth="1"/>
    <col min="7385" max="7385" width="21.85546875" style="35" bestFit="1" customWidth="1"/>
    <col min="7386" max="7386" width="20.28515625" style="35" bestFit="1" customWidth="1"/>
    <col min="7387" max="7387" width="34.140625" style="35" bestFit="1" customWidth="1"/>
    <col min="7388" max="7388" width="6.85546875" style="35" bestFit="1" customWidth="1"/>
    <col min="7389" max="7389" width="13.42578125" style="35" bestFit="1" customWidth="1"/>
    <col min="7390" max="7390" width="18.140625" style="35" bestFit="1" customWidth="1"/>
    <col min="7391" max="7431" width="10.42578125" style="35"/>
    <col min="7432" max="7432" width="6.85546875" style="35" bestFit="1" customWidth="1"/>
    <col min="7433" max="7433" width="50.28515625" style="35" customWidth="1"/>
    <col min="7434" max="7434" width="0.85546875" style="35" customWidth="1"/>
    <col min="7435" max="7435" width="47.7109375" style="35" customWidth="1"/>
    <col min="7436" max="7436" width="10" style="35" customWidth="1"/>
    <col min="7437" max="7437" width="15.42578125" style="35" bestFit="1" customWidth="1"/>
    <col min="7438" max="7438" width="21.28515625" style="35" bestFit="1" customWidth="1"/>
    <col min="7439" max="7439" width="19.7109375" style="35" bestFit="1" customWidth="1"/>
    <col min="7440" max="7441" width="26.7109375" style="35" customWidth="1"/>
    <col min="7442" max="7634" width="10.42578125" style="35"/>
    <col min="7635" max="7635" width="14.5703125" style="35" bestFit="1" customWidth="1"/>
    <col min="7636" max="7636" width="15.85546875" style="35" bestFit="1" customWidth="1"/>
    <col min="7637" max="7637" width="20.42578125" style="35" bestFit="1" customWidth="1"/>
    <col min="7638" max="7638" width="22.5703125" style="35" bestFit="1" customWidth="1"/>
    <col min="7639" max="7639" width="20.28515625" style="35" bestFit="1" customWidth="1"/>
    <col min="7640" max="7640" width="0.85546875" style="35" customWidth="1"/>
    <col min="7641" max="7641" width="21.85546875" style="35" bestFit="1" customWidth="1"/>
    <col min="7642" max="7642" width="20.28515625" style="35" bestFit="1" customWidth="1"/>
    <col min="7643" max="7643" width="34.140625" style="35" bestFit="1" customWidth="1"/>
    <col min="7644" max="7644" width="6.85546875" style="35" bestFit="1" customWidth="1"/>
    <col min="7645" max="7645" width="13.42578125" style="35" bestFit="1" customWidth="1"/>
    <col min="7646" max="7646" width="18.140625" style="35" bestFit="1" customWidth="1"/>
    <col min="7647" max="7687" width="10.42578125" style="35"/>
    <col min="7688" max="7688" width="6.85546875" style="35" bestFit="1" customWidth="1"/>
    <col min="7689" max="7689" width="50.28515625" style="35" customWidth="1"/>
    <col min="7690" max="7690" width="0.85546875" style="35" customWidth="1"/>
    <col min="7691" max="7691" width="47.7109375" style="35" customWidth="1"/>
    <col min="7692" max="7692" width="10" style="35" customWidth="1"/>
    <col min="7693" max="7693" width="15.42578125" style="35" bestFit="1" customWidth="1"/>
    <col min="7694" max="7694" width="21.28515625" style="35" bestFit="1" customWidth="1"/>
    <col min="7695" max="7695" width="19.7109375" style="35" bestFit="1" customWidth="1"/>
    <col min="7696" max="7697" width="26.7109375" style="35" customWidth="1"/>
    <col min="7698" max="7890" width="10.42578125" style="35"/>
    <col min="7891" max="7891" width="14.5703125" style="35" bestFit="1" customWidth="1"/>
    <col min="7892" max="7892" width="15.85546875" style="35" bestFit="1" customWidth="1"/>
    <col min="7893" max="7893" width="20.42578125" style="35" bestFit="1" customWidth="1"/>
    <col min="7894" max="7894" width="22.5703125" style="35" bestFit="1" customWidth="1"/>
    <col min="7895" max="7895" width="20.28515625" style="35" bestFit="1" customWidth="1"/>
    <col min="7896" max="7896" width="0.85546875" style="35" customWidth="1"/>
    <col min="7897" max="7897" width="21.85546875" style="35" bestFit="1" customWidth="1"/>
    <col min="7898" max="7898" width="20.28515625" style="35" bestFit="1" customWidth="1"/>
    <col min="7899" max="7899" width="34.140625" style="35" bestFit="1" customWidth="1"/>
    <col min="7900" max="7900" width="6.85546875" style="35" bestFit="1" customWidth="1"/>
    <col min="7901" max="7901" width="13.42578125" style="35" bestFit="1" customWidth="1"/>
    <col min="7902" max="7902" width="18.140625" style="35" bestFit="1" customWidth="1"/>
    <col min="7903" max="7943" width="10.42578125" style="35"/>
    <col min="7944" max="7944" width="6.85546875" style="35" bestFit="1" customWidth="1"/>
    <col min="7945" max="7945" width="50.28515625" style="35" customWidth="1"/>
    <col min="7946" max="7946" width="0.85546875" style="35" customWidth="1"/>
    <col min="7947" max="7947" width="47.7109375" style="35" customWidth="1"/>
    <col min="7948" max="7948" width="10" style="35" customWidth="1"/>
    <col min="7949" max="7949" width="15.42578125" style="35" bestFit="1" customWidth="1"/>
    <col min="7950" max="7950" width="21.28515625" style="35" bestFit="1" customWidth="1"/>
    <col min="7951" max="7951" width="19.7109375" style="35" bestFit="1" customWidth="1"/>
    <col min="7952" max="7953" width="26.7109375" style="35" customWidth="1"/>
    <col min="7954" max="8146" width="10.42578125" style="35"/>
    <col min="8147" max="8147" width="14.5703125" style="35" bestFit="1" customWidth="1"/>
    <col min="8148" max="8148" width="15.85546875" style="35" bestFit="1" customWidth="1"/>
    <col min="8149" max="8149" width="20.42578125" style="35" bestFit="1" customWidth="1"/>
    <col min="8150" max="8150" width="22.5703125" style="35" bestFit="1" customWidth="1"/>
    <col min="8151" max="8151" width="20.28515625" style="35" bestFit="1" customWidth="1"/>
    <col min="8152" max="8152" width="0.85546875" style="35" customWidth="1"/>
    <col min="8153" max="8153" width="21.85546875" style="35" bestFit="1" customWidth="1"/>
    <col min="8154" max="8154" width="20.28515625" style="35" bestFit="1" customWidth="1"/>
    <col min="8155" max="8155" width="34.140625" style="35" bestFit="1" customWidth="1"/>
    <col min="8156" max="8156" width="6.85546875" style="35" bestFit="1" customWidth="1"/>
    <col min="8157" max="8157" width="13.42578125" style="35" bestFit="1" customWidth="1"/>
    <col min="8158" max="8158" width="18.140625" style="35" bestFit="1" customWidth="1"/>
    <col min="8159" max="8199" width="10.42578125" style="35"/>
    <col min="8200" max="8200" width="6.85546875" style="35" bestFit="1" customWidth="1"/>
    <col min="8201" max="8201" width="50.28515625" style="35" customWidth="1"/>
    <col min="8202" max="8202" width="0.85546875" style="35" customWidth="1"/>
    <col min="8203" max="8203" width="47.7109375" style="35" customWidth="1"/>
    <col min="8204" max="8204" width="10" style="35" customWidth="1"/>
    <col min="8205" max="8205" width="15.42578125" style="35" bestFit="1" customWidth="1"/>
    <col min="8206" max="8206" width="21.28515625" style="35" bestFit="1" customWidth="1"/>
    <col min="8207" max="8207" width="19.7109375" style="35" bestFit="1" customWidth="1"/>
    <col min="8208" max="8209" width="26.7109375" style="35" customWidth="1"/>
    <col min="8210" max="8402" width="10.42578125" style="35"/>
    <col min="8403" max="8403" width="14.5703125" style="35" bestFit="1" customWidth="1"/>
    <col min="8404" max="8404" width="15.85546875" style="35" bestFit="1" customWidth="1"/>
    <col min="8405" max="8405" width="20.42578125" style="35" bestFit="1" customWidth="1"/>
    <col min="8406" max="8406" width="22.5703125" style="35" bestFit="1" customWidth="1"/>
    <col min="8407" max="8407" width="20.28515625" style="35" bestFit="1" customWidth="1"/>
    <col min="8408" max="8408" width="0.85546875" style="35" customWidth="1"/>
    <col min="8409" max="8409" width="21.85546875" style="35" bestFit="1" customWidth="1"/>
    <col min="8410" max="8410" width="20.28515625" style="35" bestFit="1" customWidth="1"/>
    <col min="8411" max="8411" width="34.140625" style="35" bestFit="1" customWidth="1"/>
    <col min="8412" max="8412" width="6.85546875" style="35" bestFit="1" customWidth="1"/>
    <col min="8413" max="8413" width="13.42578125" style="35" bestFit="1" customWidth="1"/>
    <col min="8414" max="8414" width="18.140625" style="35" bestFit="1" customWidth="1"/>
    <col min="8415" max="8455" width="10.42578125" style="35"/>
    <col min="8456" max="8456" width="6.85546875" style="35" bestFit="1" customWidth="1"/>
    <col min="8457" max="8457" width="50.28515625" style="35" customWidth="1"/>
    <col min="8458" max="8458" width="0.85546875" style="35" customWidth="1"/>
    <col min="8459" max="8459" width="47.7109375" style="35" customWidth="1"/>
    <col min="8460" max="8460" width="10" style="35" customWidth="1"/>
    <col min="8461" max="8461" width="15.42578125" style="35" bestFit="1" customWidth="1"/>
    <col min="8462" max="8462" width="21.28515625" style="35" bestFit="1" customWidth="1"/>
    <col min="8463" max="8463" width="19.7109375" style="35" bestFit="1" customWidth="1"/>
    <col min="8464" max="8465" width="26.7109375" style="35" customWidth="1"/>
    <col min="8466" max="8658" width="10.42578125" style="35"/>
    <col min="8659" max="8659" width="14.5703125" style="35" bestFit="1" customWidth="1"/>
    <col min="8660" max="8660" width="15.85546875" style="35" bestFit="1" customWidth="1"/>
    <col min="8661" max="8661" width="20.42578125" style="35" bestFit="1" customWidth="1"/>
    <col min="8662" max="8662" width="22.5703125" style="35" bestFit="1" customWidth="1"/>
    <col min="8663" max="8663" width="20.28515625" style="35" bestFit="1" customWidth="1"/>
    <col min="8664" max="8664" width="0.85546875" style="35" customWidth="1"/>
    <col min="8665" max="8665" width="21.85546875" style="35" bestFit="1" customWidth="1"/>
    <col min="8666" max="8666" width="20.28515625" style="35" bestFit="1" customWidth="1"/>
    <col min="8667" max="8667" width="34.140625" style="35" bestFit="1" customWidth="1"/>
    <col min="8668" max="8668" width="6.85546875" style="35" bestFit="1" customWidth="1"/>
    <col min="8669" max="8669" width="13.42578125" style="35" bestFit="1" customWidth="1"/>
    <col min="8670" max="8670" width="18.140625" style="35" bestFit="1" customWidth="1"/>
    <col min="8671" max="8711" width="10.42578125" style="35"/>
    <col min="8712" max="8712" width="6.85546875" style="35" bestFit="1" customWidth="1"/>
    <col min="8713" max="8713" width="50.28515625" style="35" customWidth="1"/>
    <col min="8714" max="8714" width="0.85546875" style="35" customWidth="1"/>
    <col min="8715" max="8715" width="47.7109375" style="35" customWidth="1"/>
    <col min="8716" max="8716" width="10" style="35" customWidth="1"/>
    <col min="8717" max="8717" width="15.42578125" style="35" bestFit="1" customWidth="1"/>
    <col min="8718" max="8718" width="21.28515625" style="35" bestFit="1" customWidth="1"/>
    <col min="8719" max="8719" width="19.7109375" style="35" bestFit="1" customWidth="1"/>
    <col min="8720" max="8721" width="26.7109375" style="35" customWidth="1"/>
    <col min="8722" max="8914" width="10.42578125" style="35"/>
    <col min="8915" max="8915" width="14.5703125" style="35" bestFit="1" customWidth="1"/>
    <col min="8916" max="8916" width="15.85546875" style="35" bestFit="1" customWidth="1"/>
    <col min="8917" max="8917" width="20.42578125" style="35" bestFit="1" customWidth="1"/>
    <col min="8918" max="8918" width="22.5703125" style="35" bestFit="1" customWidth="1"/>
    <col min="8919" max="8919" width="20.28515625" style="35" bestFit="1" customWidth="1"/>
    <col min="8920" max="8920" width="0.85546875" style="35" customWidth="1"/>
    <col min="8921" max="8921" width="21.85546875" style="35" bestFit="1" customWidth="1"/>
    <col min="8922" max="8922" width="20.28515625" style="35" bestFit="1" customWidth="1"/>
    <col min="8923" max="8923" width="34.140625" style="35" bestFit="1" customWidth="1"/>
    <col min="8924" max="8924" width="6.85546875" style="35" bestFit="1" customWidth="1"/>
    <col min="8925" max="8925" width="13.42578125" style="35" bestFit="1" customWidth="1"/>
    <col min="8926" max="8926" width="18.140625" style="35" bestFit="1" customWidth="1"/>
    <col min="8927" max="8967" width="10.42578125" style="35"/>
    <col min="8968" max="8968" width="6.85546875" style="35" bestFit="1" customWidth="1"/>
    <col min="8969" max="8969" width="50.28515625" style="35" customWidth="1"/>
    <col min="8970" max="8970" width="0.85546875" style="35" customWidth="1"/>
    <col min="8971" max="8971" width="47.7109375" style="35" customWidth="1"/>
    <col min="8972" max="8972" width="10" style="35" customWidth="1"/>
    <col min="8973" max="8973" width="15.42578125" style="35" bestFit="1" customWidth="1"/>
    <col min="8974" max="8974" width="21.28515625" style="35" bestFit="1" customWidth="1"/>
    <col min="8975" max="8975" width="19.7109375" style="35" bestFit="1" customWidth="1"/>
    <col min="8976" max="8977" width="26.7109375" style="35" customWidth="1"/>
    <col min="8978" max="9170" width="10.42578125" style="35"/>
    <col min="9171" max="9171" width="14.5703125" style="35" bestFit="1" customWidth="1"/>
    <col min="9172" max="9172" width="15.85546875" style="35" bestFit="1" customWidth="1"/>
    <col min="9173" max="9173" width="20.42578125" style="35" bestFit="1" customWidth="1"/>
    <col min="9174" max="9174" width="22.5703125" style="35" bestFit="1" customWidth="1"/>
    <col min="9175" max="9175" width="20.28515625" style="35" bestFit="1" customWidth="1"/>
    <col min="9176" max="9176" width="0.85546875" style="35" customWidth="1"/>
    <col min="9177" max="9177" width="21.85546875" style="35" bestFit="1" customWidth="1"/>
    <col min="9178" max="9178" width="20.28515625" style="35" bestFit="1" customWidth="1"/>
    <col min="9179" max="9179" width="34.140625" style="35" bestFit="1" customWidth="1"/>
    <col min="9180" max="9180" width="6.85546875" style="35" bestFit="1" customWidth="1"/>
    <col min="9181" max="9181" width="13.42578125" style="35" bestFit="1" customWidth="1"/>
    <col min="9182" max="9182" width="18.140625" style="35" bestFit="1" customWidth="1"/>
    <col min="9183" max="9223" width="10.42578125" style="35"/>
    <col min="9224" max="9224" width="6.85546875" style="35" bestFit="1" customWidth="1"/>
    <col min="9225" max="9225" width="50.28515625" style="35" customWidth="1"/>
    <col min="9226" max="9226" width="0.85546875" style="35" customWidth="1"/>
    <col min="9227" max="9227" width="47.7109375" style="35" customWidth="1"/>
    <col min="9228" max="9228" width="10" style="35" customWidth="1"/>
    <col min="9229" max="9229" width="15.42578125" style="35" bestFit="1" customWidth="1"/>
    <col min="9230" max="9230" width="21.28515625" style="35" bestFit="1" customWidth="1"/>
    <col min="9231" max="9231" width="19.7109375" style="35" bestFit="1" customWidth="1"/>
    <col min="9232" max="9233" width="26.7109375" style="35" customWidth="1"/>
    <col min="9234" max="9426" width="10.42578125" style="35"/>
    <col min="9427" max="9427" width="14.5703125" style="35" bestFit="1" customWidth="1"/>
    <col min="9428" max="9428" width="15.85546875" style="35" bestFit="1" customWidth="1"/>
    <col min="9429" max="9429" width="20.42578125" style="35" bestFit="1" customWidth="1"/>
    <col min="9430" max="9430" width="22.5703125" style="35" bestFit="1" customWidth="1"/>
    <col min="9431" max="9431" width="20.28515625" style="35" bestFit="1" customWidth="1"/>
    <col min="9432" max="9432" width="0.85546875" style="35" customWidth="1"/>
    <col min="9433" max="9433" width="21.85546875" style="35" bestFit="1" customWidth="1"/>
    <col min="9434" max="9434" width="20.28515625" style="35" bestFit="1" customWidth="1"/>
    <col min="9435" max="9435" width="34.140625" style="35" bestFit="1" customWidth="1"/>
    <col min="9436" max="9436" width="6.85546875" style="35" bestFit="1" customWidth="1"/>
    <col min="9437" max="9437" width="13.42578125" style="35" bestFit="1" customWidth="1"/>
    <col min="9438" max="9438" width="18.140625" style="35" bestFit="1" customWidth="1"/>
    <col min="9439" max="9479" width="10.42578125" style="35"/>
    <col min="9480" max="9480" width="6.85546875" style="35" bestFit="1" customWidth="1"/>
    <col min="9481" max="9481" width="50.28515625" style="35" customWidth="1"/>
    <col min="9482" max="9482" width="0.85546875" style="35" customWidth="1"/>
    <col min="9483" max="9483" width="47.7109375" style="35" customWidth="1"/>
    <col min="9484" max="9484" width="10" style="35" customWidth="1"/>
    <col min="9485" max="9485" width="15.42578125" style="35" bestFit="1" customWidth="1"/>
    <col min="9486" max="9486" width="21.28515625" style="35" bestFit="1" customWidth="1"/>
    <col min="9487" max="9487" width="19.7109375" style="35" bestFit="1" customWidth="1"/>
    <col min="9488" max="9489" width="26.7109375" style="35" customWidth="1"/>
    <col min="9490" max="9682" width="10.42578125" style="35"/>
    <col min="9683" max="9683" width="14.5703125" style="35" bestFit="1" customWidth="1"/>
    <col min="9684" max="9684" width="15.85546875" style="35" bestFit="1" customWidth="1"/>
    <col min="9685" max="9685" width="20.42578125" style="35" bestFit="1" customWidth="1"/>
    <col min="9686" max="9686" width="22.5703125" style="35" bestFit="1" customWidth="1"/>
    <col min="9687" max="9687" width="20.28515625" style="35" bestFit="1" customWidth="1"/>
    <col min="9688" max="9688" width="0.85546875" style="35" customWidth="1"/>
    <col min="9689" max="9689" width="21.85546875" style="35" bestFit="1" customWidth="1"/>
    <col min="9690" max="9690" width="20.28515625" style="35" bestFit="1" customWidth="1"/>
    <col min="9691" max="9691" width="34.140625" style="35" bestFit="1" customWidth="1"/>
    <col min="9692" max="9692" width="6.85546875" style="35" bestFit="1" customWidth="1"/>
    <col min="9693" max="9693" width="13.42578125" style="35" bestFit="1" customWidth="1"/>
    <col min="9694" max="9694" width="18.140625" style="35" bestFit="1" customWidth="1"/>
    <col min="9695" max="9735" width="10.42578125" style="35"/>
    <col min="9736" max="9736" width="6.85546875" style="35" bestFit="1" customWidth="1"/>
    <col min="9737" max="9737" width="50.28515625" style="35" customWidth="1"/>
    <col min="9738" max="9738" width="0.85546875" style="35" customWidth="1"/>
    <col min="9739" max="9739" width="47.7109375" style="35" customWidth="1"/>
    <col min="9740" max="9740" width="10" style="35" customWidth="1"/>
    <col min="9741" max="9741" width="15.42578125" style="35" bestFit="1" customWidth="1"/>
    <col min="9742" max="9742" width="21.28515625" style="35" bestFit="1" customWidth="1"/>
    <col min="9743" max="9743" width="19.7109375" style="35" bestFit="1" customWidth="1"/>
    <col min="9744" max="9745" width="26.7109375" style="35" customWidth="1"/>
    <col min="9746" max="9938" width="10.42578125" style="35"/>
    <col min="9939" max="9939" width="14.5703125" style="35" bestFit="1" customWidth="1"/>
    <col min="9940" max="9940" width="15.85546875" style="35" bestFit="1" customWidth="1"/>
    <col min="9941" max="9941" width="20.42578125" style="35" bestFit="1" customWidth="1"/>
    <col min="9942" max="9942" width="22.5703125" style="35" bestFit="1" customWidth="1"/>
    <col min="9943" max="9943" width="20.28515625" style="35" bestFit="1" customWidth="1"/>
    <col min="9944" max="9944" width="0.85546875" style="35" customWidth="1"/>
    <col min="9945" max="9945" width="21.85546875" style="35" bestFit="1" customWidth="1"/>
    <col min="9946" max="9946" width="20.28515625" style="35" bestFit="1" customWidth="1"/>
    <col min="9947" max="9947" width="34.140625" style="35" bestFit="1" customWidth="1"/>
    <col min="9948" max="9948" width="6.85546875" style="35" bestFit="1" customWidth="1"/>
    <col min="9949" max="9949" width="13.42578125" style="35" bestFit="1" customWidth="1"/>
    <col min="9950" max="9950" width="18.140625" style="35" bestFit="1" customWidth="1"/>
    <col min="9951" max="9991" width="10.42578125" style="35"/>
    <col min="9992" max="9992" width="6.85546875" style="35" bestFit="1" customWidth="1"/>
    <col min="9993" max="9993" width="50.28515625" style="35" customWidth="1"/>
    <col min="9994" max="9994" width="0.85546875" style="35" customWidth="1"/>
    <col min="9995" max="9995" width="47.7109375" style="35" customWidth="1"/>
    <col min="9996" max="9996" width="10" style="35" customWidth="1"/>
    <col min="9997" max="9997" width="15.42578125" style="35" bestFit="1" customWidth="1"/>
    <col min="9998" max="9998" width="21.28515625" style="35" bestFit="1" customWidth="1"/>
    <col min="9999" max="9999" width="19.7109375" style="35" bestFit="1" customWidth="1"/>
    <col min="10000" max="10001" width="26.7109375" style="35" customWidth="1"/>
    <col min="10002" max="10194" width="10.42578125" style="35"/>
    <col min="10195" max="10195" width="14.5703125" style="35" bestFit="1" customWidth="1"/>
    <col min="10196" max="10196" width="15.85546875" style="35" bestFit="1" customWidth="1"/>
    <col min="10197" max="10197" width="20.42578125" style="35" bestFit="1" customWidth="1"/>
    <col min="10198" max="10198" width="22.5703125" style="35" bestFit="1" customWidth="1"/>
    <col min="10199" max="10199" width="20.28515625" style="35" bestFit="1" customWidth="1"/>
    <col min="10200" max="10200" width="0.85546875" style="35" customWidth="1"/>
    <col min="10201" max="10201" width="21.85546875" style="35" bestFit="1" customWidth="1"/>
    <col min="10202" max="10202" width="20.28515625" style="35" bestFit="1" customWidth="1"/>
    <col min="10203" max="10203" width="34.140625" style="35" bestFit="1" customWidth="1"/>
    <col min="10204" max="10204" width="6.85546875" style="35" bestFit="1" customWidth="1"/>
    <col min="10205" max="10205" width="13.42578125" style="35" bestFit="1" customWidth="1"/>
    <col min="10206" max="10206" width="18.140625" style="35" bestFit="1" customWidth="1"/>
    <col min="10207" max="10247" width="10.42578125" style="35"/>
    <col min="10248" max="10248" width="6.85546875" style="35" bestFit="1" customWidth="1"/>
    <col min="10249" max="10249" width="50.28515625" style="35" customWidth="1"/>
    <col min="10250" max="10250" width="0.85546875" style="35" customWidth="1"/>
    <col min="10251" max="10251" width="47.7109375" style="35" customWidth="1"/>
    <col min="10252" max="10252" width="10" style="35" customWidth="1"/>
    <col min="10253" max="10253" width="15.42578125" style="35" bestFit="1" customWidth="1"/>
    <col min="10254" max="10254" width="21.28515625" style="35" bestFit="1" customWidth="1"/>
    <col min="10255" max="10255" width="19.7109375" style="35" bestFit="1" customWidth="1"/>
    <col min="10256" max="10257" width="26.7109375" style="35" customWidth="1"/>
    <col min="10258" max="10450" width="10.42578125" style="35"/>
    <col min="10451" max="10451" width="14.5703125" style="35" bestFit="1" customWidth="1"/>
    <col min="10452" max="10452" width="15.85546875" style="35" bestFit="1" customWidth="1"/>
    <col min="10453" max="10453" width="20.42578125" style="35" bestFit="1" customWidth="1"/>
    <col min="10454" max="10454" width="22.5703125" style="35" bestFit="1" customWidth="1"/>
    <col min="10455" max="10455" width="20.28515625" style="35" bestFit="1" customWidth="1"/>
    <col min="10456" max="10456" width="0.85546875" style="35" customWidth="1"/>
    <col min="10457" max="10457" width="21.85546875" style="35" bestFit="1" customWidth="1"/>
    <col min="10458" max="10458" width="20.28515625" style="35" bestFit="1" customWidth="1"/>
    <col min="10459" max="10459" width="34.140625" style="35" bestFit="1" customWidth="1"/>
    <col min="10460" max="10460" width="6.85546875" style="35" bestFit="1" customWidth="1"/>
    <col min="10461" max="10461" width="13.42578125" style="35" bestFit="1" customWidth="1"/>
    <col min="10462" max="10462" width="18.140625" style="35" bestFit="1" customWidth="1"/>
    <col min="10463" max="10503" width="10.42578125" style="35"/>
    <col min="10504" max="10504" width="6.85546875" style="35" bestFit="1" customWidth="1"/>
    <col min="10505" max="10505" width="50.28515625" style="35" customWidth="1"/>
    <col min="10506" max="10506" width="0.85546875" style="35" customWidth="1"/>
    <col min="10507" max="10507" width="47.7109375" style="35" customWidth="1"/>
    <col min="10508" max="10508" width="10" style="35" customWidth="1"/>
    <col min="10509" max="10509" width="15.42578125" style="35" bestFit="1" customWidth="1"/>
    <col min="10510" max="10510" width="21.28515625" style="35" bestFit="1" customWidth="1"/>
    <col min="10511" max="10511" width="19.7109375" style="35" bestFit="1" customWidth="1"/>
    <col min="10512" max="10513" width="26.7109375" style="35" customWidth="1"/>
    <col min="10514" max="10706" width="10.42578125" style="35"/>
    <col min="10707" max="10707" width="14.5703125" style="35" bestFit="1" customWidth="1"/>
    <col min="10708" max="10708" width="15.85546875" style="35" bestFit="1" customWidth="1"/>
    <col min="10709" max="10709" width="20.42578125" style="35" bestFit="1" customWidth="1"/>
    <col min="10710" max="10710" width="22.5703125" style="35" bestFit="1" customWidth="1"/>
    <col min="10711" max="10711" width="20.28515625" style="35" bestFit="1" customWidth="1"/>
    <col min="10712" max="10712" width="0.85546875" style="35" customWidth="1"/>
    <col min="10713" max="10713" width="21.85546875" style="35" bestFit="1" customWidth="1"/>
    <col min="10714" max="10714" width="20.28515625" style="35" bestFit="1" customWidth="1"/>
    <col min="10715" max="10715" width="34.140625" style="35" bestFit="1" customWidth="1"/>
    <col min="10716" max="10716" width="6.85546875" style="35" bestFit="1" customWidth="1"/>
    <col min="10717" max="10717" width="13.42578125" style="35" bestFit="1" customWidth="1"/>
    <col min="10718" max="10718" width="18.140625" style="35" bestFit="1" customWidth="1"/>
    <col min="10719" max="10759" width="10.42578125" style="35"/>
    <col min="10760" max="10760" width="6.85546875" style="35" bestFit="1" customWidth="1"/>
    <col min="10761" max="10761" width="50.28515625" style="35" customWidth="1"/>
    <col min="10762" max="10762" width="0.85546875" style="35" customWidth="1"/>
    <col min="10763" max="10763" width="47.7109375" style="35" customWidth="1"/>
    <col min="10764" max="10764" width="10" style="35" customWidth="1"/>
    <col min="10765" max="10765" width="15.42578125" style="35" bestFit="1" customWidth="1"/>
    <col min="10766" max="10766" width="21.28515625" style="35" bestFit="1" customWidth="1"/>
    <col min="10767" max="10767" width="19.7109375" style="35" bestFit="1" customWidth="1"/>
    <col min="10768" max="10769" width="26.7109375" style="35" customWidth="1"/>
    <col min="10770" max="10962" width="10.42578125" style="35"/>
    <col min="10963" max="10963" width="14.5703125" style="35" bestFit="1" customWidth="1"/>
    <col min="10964" max="10964" width="15.85546875" style="35" bestFit="1" customWidth="1"/>
    <col min="10965" max="10965" width="20.42578125" style="35" bestFit="1" customWidth="1"/>
    <col min="10966" max="10966" width="22.5703125" style="35" bestFit="1" customWidth="1"/>
    <col min="10967" max="10967" width="20.28515625" style="35" bestFit="1" customWidth="1"/>
    <col min="10968" max="10968" width="0.85546875" style="35" customWidth="1"/>
    <col min="10969" max="10969" width="21.85546875" style="35" bestFit="1" customWidth="1"/>
    <col min="10970" max="10970" width="20.28515625" style="35" bestFit="1" customWidth="1"/>
    <col min="10971" max="10971" width="34.140625" style="35" bestFit="1" customWidth="1"/>
    <col min="10972" max="10972" width="6.85546875" style="35" bestFit="1" customWidth="1"/>
    <col min="10973" max="10973" width="13.42578125" style="35" bestFit="1" customWidth="1"/>
    <col min="10974" max="10974" width="18.140625" style="35" bestFit="1" customWidth="1"/>
    <col min="10975" max="11015" width="10.42578125" style="35"/>
    <col min="11016" max="11016" width="6.85546875" style="35" bestFit="1" customWidth="1"/>
    <col min="11017" max="11017" width="50.28515625" style="35" customWidth="1"/>
    <col min="11018" max="11018" width="0.85546875" style="35" customWidth="1"/>
    <col min="11019" max="11019" width="47.7109375" style="35" customWidth="1"/>
    <col min="11020" max="11020" width="10" style="35" customWidth="1"/>
    <col min="11021" max="11021" width="15.42578125" style="35" bestFit="1" customWidth="1"/>
    <col min="11022" max="11022" width="21.28515625" style="35" bestFit="1" customWidth="1"/>
    <col min="11023" max="11023" width="19.7109375" style="35" bestFit="1" customWidth="1"/>
    <col min="11024" max="11025" width="26.7109375" style="35" customWidth="1"/>
    <col min="11026" max="11218" width="10.42578125" style="35"/>
    <col min="11219" max="11219" width="14.5703125" style="35" bestFit="1" customWidth="1"/>
    <col min="11220" max="11220" width="15.85546875" style="35" bestFit="1" customWidth="1"/>
    <col min="11221" max="11221" width="20.42578125" style="35" bestFit="1" customWidth="1"/>
    <col min="11222" max="11222" width="22.5703125" style="35" bestFit="1" customWidth="1"/>
    <col min="11223" max="11223" width="20.28515625" style="35" bestFit="1" customWidth="1"/>
    <col min="11224" max="11224" width="0.85546875" style="35" customWidth="1"/>
    <col min="11225" max="11225" width="21.85546875" style="35" bestFit="1" customWidth="1"/>
    <col min="11226" max="11226" width="20.28515625" style="35" bestFit="1" customWidth="1"/>
    <col min="11227" max="11227" width="34.140625" style="35" bestFit="1" customWidth="1"/>
    <col min="11228" max="11228" width="6.85546875" style="35" bestFit="1" customWidth="1"/>
    <col min="11229" max="11229" width="13.42578125" style="35" bestFit="1" customWidth="1"/>
    <col min="11230" max="11230" width="18.140625" style="35" bestFit="1" customWidth="1"/>
    <col min="11231" max="11271" width="10.42578125" style="35"/>
    <col min="11272" max="11272" width="6.85546875" style="35" bestFit="1" customWidth="1"/>
    <col min="11273" max="11273" width="50.28515625" style="35" customWidth="1"/>
    <col min="11274" max="11274" width="0.85546875" style="35" customWidth="1"/>
    <col min="11275" max="11275" width="47.7109375" style="35" customWidth="1"/>
    <col min="11276" max="11276" width="10" style="35" customWidth="1"/>
    <col min="11277" max="11277" width="15.42578125" style="35" bestFit="1" customWidth="1"/>
    <col min="11278" max="11278" width="21.28515625" style="35" bestFit="1" customWidth="1"/>
    <col min="11279" max="11279" width="19.7109375" style="35" bestFit="1" customWidth="1"/>
    <col min="11280" max="11281" width="26.7109375" style="35" customWidth="1"/>
    <col min="11282" max="11474" width="10.42578125" style="35"/>
    <col min="11475" max="11475" width="14.5703125" style="35" bestFit="1" customWidth="1"/>
    <col min="11476" max="11476" width="15.85546875" style="35" bestFit="1" customWidth="1"/>
    <col min="11477" max="11477" width="20.42578125" style="35" bestFit="1" customWidth="1"/>
    <col min="11478" max="11478" width="22.5703125" style="35" bestFit="1" customWidth="1"/>
    <col min="11479" max="11479" width="20.28515625" style="35" bestFit="1" customWidth="1"/>
    <col min="11480" max="11480" width="0.85546875" style="35" customWidth="1"/>
    <col min="11481" max="11481" width="21.85546875" style="35" bestFit="1" customWidth="1"/>
    <col min="11482" max="11482" width="20.28515625" style="35" bestFit="1" customWidth="1"/>
    <col min="11483" max="11483" width="34.140625" style="35" bestFit="1" customWidth="1"/>
    <col min="11484" max="11484" width="6.85546875" style="35" bestFit="1" customWidth="1"/>
    <col min="11485" max="11485" width="13.42578125" style="35" bestFit="1" customWidth="1"/>
    <col min="11486" max="11486" width="18.140625" style="35" bestFit="1" customWidth="1"/>
    <col min="11487" max="11527" width="10.42578125" style="35"/>
    <col min="11528" max="11528" width="6.85546875" style="35" bestFit="1" customWidth="1"/>
    <col min="11529" max="11529" width="50.28515625" style="35" customWidth="1"/>
    <col min="11530" max="11530" width="0.85546875" style="35" customWidth="1"/>
    <col min="11531" max="11531" width="47.7109375" style="35" customWidth="1"/>
    <col min="11532" max="11532" width="10" style="35" customWidth="1"/>
    <col min="11533" max="11533" width="15.42578125" style="35" bestFit="1" customWidth="1"/>
    <col min="11534" max="11534" width="21.28515625" style="35" bestFit="1" customWidth="1"/>
    <col min="11535" max="11535" width="19.7109375" style="35" bestFit="1" customWidth="1"/>
    <col min="11536" max="11537" width="26.7109375" style="35" customWidth="1"/>
    <col min="11538" max="11730" width="10.42578125" style="35"/>
    <col min="11731" max="11731" width="14.5703125" style="35" bestFit="1" customWidth="1"/>
    <col min="11732" max="11732" width="15.85546875" style="35" bestFit="1" customWidth="1"/>
    <col min="11733" max="11733" width="20.42578125" style="35" bestFit="1" customWidth="1"/>
    <col min="11734" max="11734" width="22.5703125" style="35" bestFit="1" customWidth="1"/>
    <col min="11735" max="11735" width="20.28515625" style="35" bestFit="1" customWidth="1"/>
    <col min="11736" max="11736" width="0.85546875" style="35" customWidth="1"/>
    <col min="11737" max="11737" width="21.85546875" style="35" bestFit="1" customWidth="1"/>
    <col min="11738" max="11738" width="20.28515625" style="35" bestFit="1" customWidth="1"/>
    <col min="11739" max="11739" width="34.140625" style="35" bestFit="1" customWidth="1"/>
    <col min="11740" max="11740" width="6.85546875" style="35" bestFit="1" customWidth="1"/>
    <col min="11741" max="11741" width="13.42578125" style="35" bestFit="1" customWidth="1"/>
    <col min="11742" max="11742" width="18.140625" style="35" bestFit="1" customWidth="1"/>
    <col min="11743" max="11783" width="10.42578125" style="35"/>
    <col min="11784" max="11784" width="6.85546875" style="35" bestFit="1" customWidth="1"/>
    <col min="11785" max="11785" width="50.28515625" style="35" customWidth="1"/>
    <col min="11786" max="11786" width="0.85546875" style="35" customWidth="1"/>
    <col min="11787" max="11787" width="47.7109375" style="35" customWidth="1"/>
    <col min="11788" max="11788" width="10" style="35" customWidth="1"/>
    <col min="11789" max="11789" width="15.42578125" style="35" bestFit="1" customWidth="1"/>
    <col min="11790" max="11790" width="21.28515625" style="35" bestFit="1" customWidth="1"/>
    <col min="11791" max="11791" width="19.7109375" style="35" bestFit="1" customWidth="1"/>
    <col min="11792" max="11793" width="26.7109375" style="35" customWidth="1"/>
    <col min="11794" max="11986" width="10.42578125" style="35"/>
    <col min="11987" max="11987" width="14.5703125" style="35" bestFit="1" customWidth="1"/>
    <col min="11988" max="11988" width="15.85546875" style="35" bestFit="1" customWidth="1"/>
    <col min="11989" max="11989" width="20.42578125" style="35" bestFit="1" customWidth="1"/>
    <col min="11990" max="11990" width="22.5703125" style="35" bestFit="1" customWidth="1"/>
    <col min="11991" max="11991" width="20.28515625" style="35" bestFit="1" customWidth="1"/>
    <col min="11992" max="11992" width="0.85546875" style="35" customWidth="1"/>
    <col min="11993" max="11993" width="21.85546875" style="35" bestFit="1" customWidth="1"/>
    <col min="11994" max="11994" width="20.28515625" style="35" bestFit="1" customWidth="1"/>
    <col min="11995" max="11995" width="34.140625" style="35" bestFit="1" customWidth="1"/>
    <col min="11996" max="11996" width="6.85546875" style="35" bestFit="1" customWidth="1"/>
    <col min="11997" max="11997" width="13.42578125" style="35" bestFit="1" customWidth="1"/>
    <col min="11998" max="11998" width="18.140625" style="35" bestFit="1" customWidth="1"/>
    <col min="11999" max="12039" width="10.42578125" style="35"/>
    <col min="12040" max="12040" width="6.85546875" style="35" bestFit="1" customWidth="1"/>
    <col min="12041" max="12041" width="50.28515625" style="35" customWidth="1"/>
    <col min="12042" max="12042" width="0.85546875" style="35" customWidth="1"/>
    <col min="12043" max="12043" width="47.7109375" style="35" customWidth="1"/>
    <col min="12044" max="12044" width="10" style="35" customWidth="1"/>
    <col min="12045" max="12045" width="15.42578125" style="35" bestFit="1" customWidth="1"/>
    <col min="12046" max="12046" width="21.28515625" style="35" bestFit="1" customWidth="1"/>
    <col min="12047" max="12047" width="19.7109375" style="35" bestFit="1" customWidth="1"/>
    <col min="12048" max="12049" width="26.7109375" style="35" customWidth="1"/>
    <col min="12050" max="12242" width="10.42578125" style="35"/>
    <col min="12243" max="12243" width="14.5703125" style="35" bestFit="1" customWidth="1"/>
    <col min="12244" max="12244" width="15.85546875" style="35" bestFit="1" customWidth="1"/>
    <col min="12245" max="12245" width="20.42578125" style="35" bestFit="1" customWidth="1"/>
    <col min="12246" max="12246" width="22.5703125" style="35" bestFit="1" customWidth="1"/>
    <col min="12247" max="12247" width="20.28515625" style="35" bestFit="1" customWidth="1"/>
    <col min="12248" max="12248" width="0.85546875" style="35" customWidth="1"/>
    <col min="12249" max="12249" width="21.85546875" style="35" bestFit="1" customWidth="1"/>
    <col min="12250" max="12250" width="20.28515625" style="35" bestFit="1" customWidth="1"/>
    <col min="12251" max="12251" width="34.140625" style="35" bestFit="1" customWidth="1"/>
    <col min="12252" max="12252" width="6.85546875" style="35" bestFit="1" customWidth="1"/>
    <col min="12253" max="12253" width="13.42578125" style="35" bestFit="1" customWidth="1"/>
    <col min="12254" max="12254" width="18.140625" style="35" bestFit="1" customWidth="1"/>
    <col min="12255" max="12295" width="10.42578125" style="35"/>
    <col min="12296" max="12296" width="6.85546875" style="35" bestFit="1" customWidth="1"/>
    <col min="12297" max="12297" width="50.28515625" style="35" customWidth="1"/>
    <col min="12298" max="12298" width="0.85546875" style="35" customWidth="1"/>
    <col min="12299" max="12299" width="47.7109375" style="35" customWidth="1"/>
    <col min="12300" max="12300" width="10" style="35" customWidth="1"/>
    <col min="12301" max="12301" width="15.42578125" style="35" bestFit="1" customWidth="1"/>
    <col min="12302" max="12302" width="21.28515625" style="35" bestFit="1" customWidth="1"/>
    <col min="12303" max="12303" width="19.7109375" style="35" bestFit="1" customWidth="1"/>
    <col min="12304" max="12305" width="26.7109375" style="35" customWidth="1"/>
    <col min="12306" max="12498" width="10.42578125" style="35"/>
    <col min="12499" max="12499" width="14.5703125" style="35" bestFit="1" customWidth="1"/>
    <col min="12500" max="12500" width="15.85546875" style="35" bestFit="1" customWidth="1"/>
    <col min="12501" max="12501" width="20.42578125" style="35" bestFit="1" customWidth="1"/>
    <col min="12502" max="12502" width="22.5703125" style="35" bestFit="1" customWidth="1"/>
    <col min="12503" max="12503" width="20.28515625" style="35" bestFit="1" customWidth="1"/>
    <col min="12504" max="12504" width="0.85546875" style="35" customWidth="1"/>
    <col min="12505" max="12505" width="21.85546875" style="35" bestFit="1" customWidth="1"/>
    <col min="12506" max="12506" width="20.28515625" style="35" bestFit="1" customWidth="1"/>
    <col min="12507" max="12507" width="34.140625" style="35" bestFit="1" customWidth="1"/>
    <col min="12508" max="12508" width="6.85546875" style="35" bestFit="1" customWidth="1"/>
    <col min="12509" max="12509" width="13.42578125" style="35" bestFit="1" customWidth="1"/>
    <col min="12510" max="12510" width="18.140625" style="35" bestFit="1" customWidth="1"/>
    <col min="12511" max="12551" width="10.42578125" style="35"/>
    <col min="12552" max="12552" width="6.85546875" style="35" bestFit="1" customWidth="1"/>
    <col min="12553" max="12553" width="50.28515625" style="35" customWidth="1"/>
    <col min="12554" max="12554" width="0.85546875" style="35" customWidth="1"/>
    <col min="12555" max="12555" width="47.7109375" style="35" customWidth="1"/>
    <col min="12556" max="12556" width="10" style="35" customWidth="1"/>
    <col min="12557" max="12557" width="15.42578125" style="35" bestFit="1" customWidth="1"/>
    <col min="12558" max="12558" width="21.28515625" style="35" bestFit="1" customWidth="1"/>
    <col min="12559" max="12559" width="19.7109375" style="35" bestFit="1" customWidth="1"/>
    <col min="12560" max="12561" width="26.7109375" style="35" customWidth="1"/>
    <col min="12562" max="12754" width="10.42578125" style="35"/>
    <col min="12755" max="12755" width="14.5703125" style="35" bestFit="1" customWidth="1"/>
    <col min="12756" max="12756" width="15.85546875" style="35" bestFit="1" customWidth="1"/>
    <col min="12757" max="12757" width="20.42578125" style="35" bestFit="1" customWidth="1"/>
    <col min="12758" max="12758" width="22.5703125" style="35" bestFit="1" customWidth="1"/>
    <col min="12759" max="12759" width="20.28515625" style="35" bestFit="1" customWidth="1"/>
    <col min="12760" max="12760" width="0.85546875" style="35" customWidth="1"/>
    <col min="12761" max="12761" width="21.85546875" style="35" bestFit="1" customWidth="1"/>
    <col min="12762" max="12762" width="20.28515625" style="35" bestFit="1" customWidth="1"/>
    <col min="12763" max="12763" width="34.140625" style="35" bestFit="1" customWidth="1"/>
    <col min="12764" max="12764" width="6.85546875" style="35" bestFit="1" customWidth="1"/>
    <col min="12765" max="12765" width="13.42578125" style="35" bestFit="1" customWidth="1"/>
    <col min="12766" max="12766" width="18.140625" style="35" bestFit="1" customWidth="1"/>
    <col min="12767" max="12807" width="10.42578125" style="35"/>
    <col min="12808" max="12808" width="6.85546875" style="35" bestFit="1" customWidth="1"/>
    <col min="12809" max="12809" width="50.28515625" style="35" customWidth="1"/>
    <col min="12810" max="12810" width="0.85546875" style="35" customWidth="1"/>
    <col min="12811" max="12811" width="47.7109375" style="35" customWidth="1"/>
    <col min="12812" max="12812" width="10" style="35" customWidth="1"/>
    <col min="12813" max="12813" width="15.42578125" style="35" bestFit="1" customWidth="1"/>
    <col min="12814" max="12814" width="21.28515625" style="35" bestFit="1" customWidth="1"/>
    <col min="12815" max="12815" width="19.7109375" style="35" bestFit="1" customWidth="1"/>
    <col min="12816" max="12817" width="26.7109375" style="35" customWidth="1"/>
    <col min="12818" max="13010" width="10.42578125" style="35"/>
    <col min="13011" max="13011" width="14.5703125" style="35" bestFit="1" customWidth="1"/>
    <col min="13012" max="13012" width="15.85546875" style="35" bestFit="1" customWidth="1"/>
    <col min="13013" max="13013" width="20.42578125" style="35" bestFit="1" customWidth="1"/>
    <col min="13014" max="13014" width="22.5703125" style="35" bestFit="1" customWidth="1"/>
    <col min="13015" max="13015" width="20.28515625" style="35" bestFit="1" customWidth="1"/>
    <col min="13016" max="13016" width="0.85546875" style="35" customWidth="1"/>
    <col min="13017" max="13017" width="21.85546875" style="35" bestFit="1" customWidth="1"/>
    <col min="13018" max="13018" width="20.28515625" style="35" bestFit="1" customWidth="1"/>
    <col min="13019" max="13019" width="34.140625" style="35" bestFit="1" customWidth="1"/>
    <col min="13020" max="13020" width="6.85546875" style="35" bestFit="1" customWidth="1"/>
    <col min="13021" max="13021" width="13.42578125" style="35" bestFit="1" customWidth="1"/>
    <col min="13022" max="13022" width="18.140625" style="35" bestFit="1" customWidth="1"/>
    <col min="13023" max="13063" width="10.42578125" style="35"/>
    <col min="13064" max="13064" width="6.85546875" style="35" bestFit="1" customWidth="1"/>
    <col min="13065" max="13065" width="50.28515625" style="35" customWidth="1"/>
    <col min="13066" max="13066" width="0.85546875" style="35" customWidth="1"/>
    <col min="13067" max="13067" width="47.7109375" style="35" customWidth="1"/>
    <col min="13068" max="13068" width="10" style="35" customWidth="1"/>
    <col min="13069" max="13069" width="15.42578125" style="35" bestFit="1" customWidth="1"/>
    <col min="13070" max="13070" width="21.28515625" style="35" bestFit="1" customWidth="1"/>
    <col min="13071" max="13071" width="19.7109375" style="35" bestFit="1" customWidth="1"/>
    <col min="13072" max="13073" width="26.7109375" style="35" customWidth="1"/>
    <col min="13074" max="13266" width="10.42578125" style="35"/>
    <col min="13267" max="13267" width="14.5703125" style="35" bestFit="1" customWidth="1"/>
    <col min="13268" max="13268" width="15.85546875" style="35" bestFit="1" customWidth="1"/>
    <col min="13269" max="13269" width="20.42578125" style="35" bestFit="1" customWidth="1"/>
    <col min="13270" max="13270" width="22.5703125" style="35" bestFit="1" customWidth="1"/>
    <col min="13271" max="13271" width="20.28515625" style="35" bestFit="1" customWidth="1"/>
    <col min="13272" max="13272" width="0.85546875" style="35" customWidth="1"/>
    <col min="13273" max="13273" width="21.85546875" style="35" bestFit="1" customWidth="1"/>
    <col min="13274" max="13274" width="20.28515625" style="35" bestFit="1" customWidth="1"/>
    <col min="13275" max="13275" width="34.140625" style="35" bestFit="1" customWidth="1"/>
    <col min="13276" max="13276" width="6.85546875" style="35" bestFit="1" customWidth="1"/>
    <col min="13277" max="13277" width="13.42578125" style="35" bestFit="1" customWidth="1"/>
    <col min="13278" max="13278" width="18.140625" style="35" bestFit="1" customWidth="1"/>
    <col min="13279" max="13319" width="10.42578125" style="35"/>
    <col min="13320" max="13320" width="6.85546875" style="35" bestFit="1" customWidth="1"/>
    <col min="13321" max="13321" width="50.28515625" style="35" customWidth="1"/>
    <col min="13322" max="13322" width="0.85546875" style="35" customWidth="1"/>
    <col min="13323" max="13323" width="47.7109375" style="35" customWidth="1"/>
    <col min="13324" max="13324" width="10" style="35" customWidth="1"/>
    <col min="13325" max="13325" width="15.42578125" style="35" bestFit="1" customWidth="1"/>
    <col min="13326" max="13326" width="21.28515625" style="35" bestFit="1" customWidth="1"/>
    <col min="13327" max="13327" width="19.7109375" style="35" bestFit="1" customWidth="1"/>
    <col min="13328" max="13329" width="26.7109375" style="35" customWidth="1"/>
    <col min="13330" max="13522" width="10.42578125" style="35"/>
    <col min="13523" max="13523" width="14.5703125" style="35" bestFit="1" customWidth="1"/>
    <col min="13524" max="13524" width="15.85546875" style="35" bestFit="1" customWidth="1"/>
    <col min="13525" max="13525" width="20.42578125" style="35" bestFit="1" customWidth="1"/>
    <col min="13526" max="13526" width="22.5703125" style="35" bestFit="1" customWidth="1"/>
    <col min="13527" max="13527" width="20.28515625" style="35" bestFit="1" customWidth="1"/>
    <col min="13528" max="13528" width="0.85546875" style="35" customWidth="1"/>
    <col min="13529" max="13529" width="21.85546875" style="35" bestFit="1" customWidth="1"/>
    <col min="13530" max="13530" width="20.28515625" style="35" bestFit="1" customWidth="1"/>
    <col min="13531" max="13531" width="34.140625" style="35" bestFit="1" customWidth="1"/>
    <col min="13532" max="13532" width="6.85546875" style="35" bestFit="1" customWidth="1"/>
    <col min="13533" max="13533" width="13.42578125" style="35" bestFit="1" customWidth="1"/>
    <col min="13534" max="13534" width="18.140625" style="35" bestFit="1" customWidth="1"/>
    <col min="13535" max="13575" width="10.42578125" style="35"/>
    <col min="13576" max="13576" width="6.85546875" style="35" bestFit="1" customWidth="1"/>
    <col min="13577" max="13577" width="50.28515625" style="35" customWidth="1"/>
    <col min="13578" max="13578" width="0.85546875" style="35" customWidth="1"/>
    <col min="13579" max="13579" width="47.7109375" style="35" customWidth="1"/>
    <col min="13580" max="13580" width="10" style="35" customWidth="1"/>
    <col min="13581" max="13581" width="15.42578125" style="35" bestFit="1" customWidth="1"/>
    <col min="13582" max="13582" width="21.28515625" style="35" bestFit="1" customWidth="1"/>
    <col min="13583" max="13583" width="19.7109375" style="35" bestFit="1" customWidth="1"/>
    <col min="13584" max="13585" width="26.7109375" style="35" customWidth="1"/>
    <col min="13586" max="13778" width="10.42578125" style="35"/>
    <col min="13779" max="13779" width="14.5703125" style="35" bestFit="1" customWidth="1"/>
    <col min="13780" max="13780" width="15.85546875" style="35" bestFit="1" customWidth="1"/>
    <col min="13781" max="13781" width="20.42578125" style="35" bestFit="1" customWidth="1"/>
    <col min="13782" max="13782" width="22.5703125" style="35" bestFit="1" customWidth="1"/>
    <col min="13783" max="13783" width="20.28515625" style="35" bestFit="1" customWidth="1"/>
    <col min="13784" max="13784" width="0.85546875" style="35" customWidth="1"/>
    <col min="13785" max="13785" width="21.85546875" style="35" bestFit="1" customWidth="1"/>
    <col min="13786" max="13786" width="20.28515625" style="35" bestFit="1" customWidth="1"/>
    <col min="13787" max="13787" width="34.140625" style="35" bestFit="1" customWidth="1"/>
    <col min="13788" max="13788" width="6.85546875" style="35" bestFit="1" customWidth="1"/>
    <col min="13789" max="13789" width="13.42578125" style="35" bestFit="1" customWidth="1"/>
    <col min="13790" max="13790" width="18.140625" style="35" bestFit="1" customWidth="1"/>
    <col min="13791" max="13831" width="10.42578125" style="35"/>
    <col min="13832" max="13832" width="6.85546875" style="35" bestFit="1" customWidth="1"/>
    <col min="13833" max="13833" width="50.28515625" style="35" customWidth="1"/>
    <col min="13834" max="13834" width="0.85546875" style="35" customWidth="1"/>
    <col min="13835" max="13835" width="47.7109375" style="35" customWidth="1"/>
    <col min="13836" max="13836" width="10" style="35" customWidth="1"/>
    <col min="13837" max="13837" width="15.42578125" style="35" bestFit="1" customWidth="1"/>
    <col min="13838" max="13838" width="21.28515625" style="35" bestFit="1" customWidth="1"/>
    <col min="13839" max="13839" width="19.7109375" style="35" bestFit="1" customWidth="1"/>
    <col min="13840" max="13841" width="26.7109375" style="35" customWidth="1"/>
    <col min="13842" max="14034" width="10.42578125" style="35"/>
    <col min="14035" max="14035" width="14.5703125" style="35" bestFit="1" customWidth="1"/>
    <col min="14036" max="14036" width="15.85546875" style="35" bestFit="1" customWidth="1"/>
    <col min="14037" max="14037" width="20.42578125" style="35" bestFit="1" customWidth="1"/>
    <col min="14038" max="14038" width="22.5703125" style="35" bestFit="1" customWidth="1"/>
    <col min="14039" max="14039" width="20.28515625" style="35" bestFit="1" customWidth="1"/>
    <col min="14040" max="14040" width="0.85546875" style="35" customWidth="1"/>
    <col min="14041" max="14041" width="21.85546875" style="35" bestFit="1" customWidth="1"/>
    <col min="14042" max="14042" width="20.28515625" style="35" bestFit="1" customWidth="1"/>
    <col min="14043" max="14043" width="34.140625" style="35" bestFit="1" customWidth="1"/>
    <col min="14044" max="14044" width="6.85546875" style="35" bestFit="1" customWidth="1"/>
    <col min="14045" max="14045" width="13.42578125" style="35" bestFit="1" customWidth="1"/>
    <col min="14046" max="14046" width="18.140625" style="35" bestFit="1" customWidth="1"/>
    <col min="14047" max="14087" width="10.42578125" style="35"/>
    <col min="14088" max="14088" width="6.85546875" style="35" bestFit="1" customWidth="1"/>
    <col min="14089" max="14089" width="50.28515625" style="35" customWidth="1"/>
    <col min="14090" max="14090" width="0.85546875" style="35" customWidth="1"/>
    <col min="14091" max="14091" width="47.7109375" style="35" customWidth="1"/>
    <col min="14092" max="14092" width="10" style="35" customWidth="1"/>
    <col min="14093" max="14093" width="15.42578125" style="35" bestFit="1" customWidth="1"/>
    <col min="14094" max="14094" width="21.28515625" style="35" bestFit="1" customWidth="1"/>
    <col min="14095" max="14095" width="19.7109375" style="35" bestFit="1" customWidth="1"/>
    <col min="14096" max="14097" width="26.7109375" style="35" customWidth="1"/>
    <col min="14098" max="14290" width="10.42578125" style="35"/>
    <col min="14291" max="14291" width="14.5703125" style="35" bestFit="1" customWidth="1"/>
    <col min="14292" max="14292" width="15.85546875" style="35" bestFit="1" customWidth="1"/>
    <col min="14293" max="14293" width="20.42578125" style="35" bestFit="1" customWidth="1"/>
    <col min="14294" max="14294" width="22.5703125" style="35" bestFit="1" customWidth="1"/>
    <col min="14295" max="14295" width="20.28515625" style="35" bestFit="1" customWidth="1"/>
    <col min="14296" max="14296" width="0.85546875" style="35" customWidth="1"/>
    <col min="14297" max="14297" width="21.85546875" style="35" bestFit="1" customWidth="1"/>
    <col min="14298" max="14298" width="20.28515625" style="35" bestFit="1" customWidth="1"/>
    <col min="14299" max="14299" width="34.140625" style="35" bestFit="1" customWidth="1"/>
    <col min="14300" max="14300" width="6.85546875" style="35" bestFit="1" customWidth="1"/>
    <col min="14301" max="14301" width="13.42578125" style="35" bestFit="1" customWidth="1"/>
    <col min="14302" max="14302" width="18.140625" style="35" bestFit="1" customWidth="1"/>
    <col min="14303" max="14343" width="10.42578125" style="35"/>
    <col min="14344" max="14344" width="6.85546875" style="35" bestFit="1" customWidth="1"/>
    <col min="14345" max="14345" width="50.28515625" style="35" customWidth="1"/>
    <col min="14346" max="14346" width="0.85546875" style="35" customWidth="1"/>
    <col min="14347" max="14347" width="47.7109375" style="35" customWidth="1"/>
    <col min="14348" max="14348" width="10" style="35" customWidth="1"/>
    <col min="14349" max="14349" width="15.42578125" style="35" bestFit="1" customWidth="1"/>
    <col min="14350" max="14350" width="21.28515625" style="35" bestFit="1" customWidth="1"/>
    <col min="14351" max="14351" width="19.7109375" style="35" bestFit="1" customWidth="1"/>
    <col min="14352" max="14353" width="26.7109375" style="35" customWidth="1"/>
    <col min="14354" max="14546" width="10.42578125" style="35"/>
    <col min="14547" max="14547" width="14.5703125" style="35" bestFit="1" customWidth="1"/>
    <col min="14548" max="14548" width="15.85546875" style="35" bestFit="1" customWidth="1"/>
    <col min="14549" max="14549" width="20.42578125" style="35" bestFit="1" customWidth="1"/>
    <col min="14550" max="14550" width="22.5703125" style="35" bestFit="1" customWidth="1"/>
    <col min="14551" max="14551" width="20.28515625" style="35" bestFit="1" customWidth="1"/>
    <col min="14552" max="14552" width="0.85546875" style="35" customWidth="1"/>
    <col min="14553" max="14553" width="21.85546875" style="35" bestFit="1" customWidth="1"/>
    <col min="14554" max="14554" width="20.28515625" style="35" bestFit="1" customWidth="1"/>
    <col min="14555" max="14555" width="34.140625" style="35" bestFit="1" customWidth="1"/>
    <col min="14556" max="14556" width="6.85546875" style="35" bestFit="1" customWidth="1"/>
    <col min="14557" max="14557" width="13.42578125" style="35" bestFit="1" customWidth="1"/>
    <col min="14558" max="14558" width="18.140625" style="35" bestFit="1" customWidth="1"/>
    <col min="14559" max="14599" width="10.42578125" style="35"/>
    <col min="14600" max="14600" width="6.85546875" style="35" bestFit="1" customWidth="1"/>
    <col min="14601" max="14601" width="50.28515625" style="35" customWidth="1"/>
    <col min="14602" max="14602" width="0.85546875" style="35" customWidth="1"/>
    <col min="14603" max="14603" width="47.7109375" style="35" customWidth="1"/>
    <col min="14604" max="14604" width="10" style="35" customWidth="1"/>
    <col min="14605" max="14605" width="15.42578125" style="35" bestFit="1" customWidth="1"/>
    <col min="14606" max="14606" width="21.28515625" style="35" bestFit="1" customWidth="1"/>
    <col min="14607" max="14607" width="19.7109375" style="35" bestFit="1" customWidth="1"/>
    <col min="14608" max="14609" width="26.7109375" style="35" customWidth="1"/>
    <col min="14610" max="14802" width="10.42578125" style="35"/>
    <col min="14803" max="14803" width="14.5703125" style="35" bestFit="1" customWidth="1"/>
    <col min="14804" max="14804" width="15.85546875" style="35" bestFit="1" customWidth="1"/>
    <col min="14805" max="14805" width="20.42578125" style="35" bestFit="1" customWidth="1"/>
    <col min="14806" max="14806" width="22.5703125" style="35" bestFit="1" customWidth="1"/>
    <col min="14807" max="14807" width="20.28515625" style="35" bestFit="1" customWidth="1"/>
    <col min="14808" max="14808" width="0.85546875" style="35" customWidth="1"/>
    <col min="14809" max="14809" width="21.85546875" style="35" bestFit="1" customWidth="1"/>
    <col min="14810" max="14810" width="20.28515625" style="35" bestFit="1" customWidth="1"/>
    <col min="14811" max="14811" width="34.140625" style="35" bestFit="1" customWidth="1"/>
    <col min="14812" max="14812" width="6.85546875" style="35" bestFit="1" customWidth="1"/>
    <col min="14813" max="14813" width="13.42578125" style="35" bestFit="1" customWidth="1"/>
    <col min="14814" max="14814" width="18.140625" style="35" bestFit="1" customWidth="1"/>
    <col min="14815" max="14855" width="10.42578125" style="35"/>
    <col min="14856" max="14856" width="6.85546875" style="35" bestFit="1" customWidth="1"/>
    <col min="14857" max="14857" width="50.28515625" style="35" customWidth="1"/>
    <col min="14858" max="14858" width="0.85546875" style="35" customWidth="1"/>
    <col min="14859" max="14859" width="47.7109375" style="35" customWidth="1"/>
    <col min="14860" max="14860" width="10" style="35" customWidth="1"/>
    <col min="14861" max="14861" width="15.42578125" style="35" bestFit="1" customWidth="1"/>
    <col min="14862" max="14862" width="21.28515625" style="35" bestFit="1" customWidth="1"/>
    <col min="14863" max="14863" width="19.7109375" style="35" bestFit="1" customWidth="1"/>
    <col min="14864" max="14865" width="26.7109375" style="35" customWidth="1"/>
    <col min="14866" max="15058" width="10.42578125" style="35"/>
    <col min="15059" max="15059" width="14.5703125" style="35" bestFit="1" customWidth="1"/>
    <col min="15060" max="15060" width="15.85546875" style="35" bestFit="1" customWidth="1"/>
    <col min="15061" max="15061" width="20.42578125" style="35" bestFit="1" customWidth="1"/>
    <col min="15062" max="15062" width="22.5703125" style="35" bestFit="1" customWidth="1"/>
    <col min="15063" max="15063" width="20.28515625" style="35" bestFit="1" customWidth="1"/>
    <col min="15064" max="15064" width="0.85546875" style="35" customWidth="1"/>
    <col min="15065" max="15065" width="21.85546875" style="35" bestFit="1" customWidth="1"/>
    <col min="15066" max="15066" width="20.28515625" style="35" bestFit="1" customWidth="1"/>
    <col min="15067" max="15067" width="34.140625" style="35" bestFit="1" customWidth="1"/>
    <col min="15068" max="15068" width="6.85546875" style="35" bestFit="1" customWidth="1"/>
    <col min="15069" max="15069" width="13.42578125" style="35" bestFit="1" customWidth="1"/>
    <col min="15070" max="15070" width="18.140625" style="35" bestFit="1" customWidth="1"/>
    <col min="15071" max="15111" width="10.42578125" style="35"/>
    <col min="15112" max="15112" width="6.85546875" style="35" bestFit="1" customWidth="1"/>
    <col min="15113" max="15113" width="50.28515625" style="35" customWidth="1"/>
    <col min="15114" max="15114" width="0.85546875" style="35" customWidth="1"/>
    <col min="15115" max="15115" width="47.7109375" style="35" customWidth="1"/>
    <col min="15116" max="15116" width="10" style="35" customWidth="1"/>
    <col min="15117" max="15117" width="15.42578125" style="35" bestFit="1" customWidth="1"/>
    <col min="15118" max="15118" width="21.28515625" style="35" bestFit="1" customWidth="1"/>
    <col min="15119" max="15119" width="19.7109375" style="35" bestFit="1" customWidth="1"/>
    <col min="15120" max="15121" width="26.7109375" style="35" customWidth="1"/>
    <col min="15122" max="15314" width="10.42578125" style="35"/>
    <col min="15315" max="15315" width="14.5703125" style="35" bestFit="1" customWidth="1"/>
    <col min="15316" max="15316" width="15.85546875" style="35" bestFit="1" customWidth="1"/>
    <col min="15317" max="15317" width="20.42578125" style="35" bestFit="1" customWidth="1"/>
    <col min="15318" max="15318" width="22.5703125" style="35" bestFit="1" customWidth="1"/>
    <col min="15319" max="15319" width="20.28515625" style="35" bestFit="1" customWidth="1"/>
    <col min="15320" max="15320" width="0.85546875" style="35" customWidth="1"/>
    <col min="15321" max="15321" width="21.85546875" style="35" bestFit="1" customWidth="1"/>
    <col min="15322" max="15322" width="20.28515625" style="35" bestFit="1" customWidth="1"/>
    <col min="15323" max="15323" width="34.140625" style="35" bestFit="1" customWidth="1"/>
    <col min="15324" max="15324" width="6.85546875" style="35" bestFit="1" customWidth="1"/>
    <col min="15325" max="15325" width="13.42578125" style="35" bestFit="1" customWidth="1"/>
    <col min="15326" max="15326" width="18.140625" style="35" bestFit="1" customWidth="1"/>
    <col min="15327" max="15367" width="10.42578125" style="35"/>
    <col min="15368" max="15368" width="6.85546875" style="35" bestFit="1" customWidth="1"/>
    <col min="15369" max="15369" width="50.28515625" style="35" customWidth="1"/>
    <col min="15370" max="15370" width="0.85546875" style="35" customWidth="1"/>
    <col min="15371" max="15371" width="47.7109375" style="35" customWidth="1"/>
    <col min="15372" max="15372" width="10" style="35" customWidth="1"/>
    <col min="15373" max="15373" width="15.42578125" style="35" bestFit="1" customWidth="1"/>
    <col min="15374" max="15374" width="21.28515625" style="35" bestFit="1" customWidth="1"/>
    <col min="15375" max="15375" width="19.7109375" style="35" bestFit="1" customWidth="1"/>
    <col min="15376" max="15377" width="26.7109375" style="35" customWidth="1"/>
    <col min="15378" max="15570" width="10.42578125" style="35"/>
    <col min="15571" max="15571" width="14.5703125" style="35" bestFit="1" customWidth="1"/>
    <col min="15572" max="15572" width="15.85546875" style="35" bestFit="1" customWidth="1"/>
    <col min="15573" max="15573" width="20.42578125" style="35" bestFit="1" customWidth="1"/>
    <col min="15574" max="15574" width="22.5703125" style="35" bestFit="1" customWidth="1"/>
    <col min="15575" max="15575" width="20.28515625" style="35" bestFit="1" customWidth="1"/>
    <col min="15576" max="15576" width="0.85546875" style="35" customWidth="1"/>
    <col min="15577" max="15577" width="21.85546875" style="35" bestFit="1" customWidth="1"/>
    <col min="15578" max="15578" width="20.28515625" style="35" bestFit="1" customWidth="1"/>
    <col min="15579" max="15579" width="34.140625" style="35" bestFit="1" customWidth="1"/>
    <col min="15580" max="15580" width="6.85546875" style="35" bestFit="1" customWidth="1"/>
    <col min="15581" max="15581" width="13.42578125" style="35" bestFit="1" customWidth="1"/>
    <col min="15582" max="15582" width="18.140625" style="35" bestFit="1" customWidth="1"/>
    <col min="15583" max="15623" width="10.42578125" style="35"/>
    <col min="15624" max="15624" width="6.85546875" style="35" bestFit="1" customWidth="1"/>
    <col min="15625" max="15625" width="50.28515625" style="35" customWidth="1"/>
    <col min="15626" max="15626" width="0.85546875" style="35" customWidth="1"/>
    <col min="15627" max="15627" width="47.7109375" style="35" customWidth="1"/>
    <col min="15628" max="15628" width="10" style="35" customWidth="1"/>
    <col min="15629" max="15629" width="15.42578125" style="35" bestFit="1" customWidth="1"/>
    <col min="15630" max="15630" width="21.28515625" style="35" bestFit="1" customWidth="1"/>
    <col min="15631" max="15631" width="19.7109375" style="35" bestFit="1" customWidth="1"/>
    <col min="15632" max="15633" width="26.7109375" style="35" customWidth="1"/>
    <col min="15634" max="15826" width="10.42578125" style="35"/>
    <col min="15827" max="15827" width="14.5703125" style="35" bestFit="1" customWidth="1"/>
    <col min="15828" max="15828" width="15.85546875" style="35" bestFit="1" customWidth="1"/>
    <col min="15829" max="15829" width="20.42578125" style="35" bestFit="1" customWidth="1"/>
    <col min="15830" max="15830" width="22.5703125" style="35" bestFit="1" customWidth="1"/>
    <col min="15831" max="15831" width="20.28515625" style="35" bestFit="1" customWidth="1"/>
    <col min="15832" max="15832" width="0.85546875" style="35" customWidth="1"/>
    <col min="15833" max="15833" width="21.85546875" style="35" bestFit="1" customWidth="1"/>
    <col min="15834" max="15834" width="20.28515625" style="35" bestFit="1" customWidth="1"/>
    <col min="15835" max="15835" width="34.140625" style="35" bestFit="1" customWidth="1"/>
    <col min="15836" max="15836" width="6.85546875" style="35" bestFit="1" customWidth="1"/>
    <col min="15837" max="15837" width="13.42578125" style="35" bestFit="1" customWidth="1"/>
    <col min="15838" max="15838" width="18.140625" style="35" bestFit="1" customWidth="1"/>
    <col min="15839" max="15879" width="10.42578125" style="35"/>
    <col min="15880" max="15880" width="6.85546875" style="35" bestFit="1" customWidth="1"/>
    <col min="15881" max="15881" width="50.28515625" style="35" customWidth="1"/>
    <col min="15882" max="15882" width="0.85546875" style="35" customWidth="1"/>
    <col min="15883" max="15883" width="47.7109375" style="35" customWidth="1"/>
    <col min="15884" max="15884" width="10" style="35" customWidth="1"/>
    <col min="15885" max="15885" width="15.42578125" style="35" bestFit="1" customWidth="1"/>
    <col min="15886" max="15886" width="21.28515625" style="35" bestFit="1" customWidth="1"/>
    <col min="15887" max="15887" width="19.7109375" style="35" bestFit="1" customWidth="1"/>
    <col min="15888" max="15889" width="26.7109375" style="35" customWidth="1"/>
    <col min="15890" max="16082" width="10.42578125" style="35"/>
    <col min="16083" max="16083" width="14.5703125" style="35" bestFit="1" customWidth="1"/>
    <col min="16084" max="16084" width="15.85546875" style="35" bestFit="1" customWidth="1"/>
    <col min="16085" max="16085" width="20.42578125" style="35" bestFit="1" customWidth="1"/>
    <col min="16086" max="16086" width="22.5703125" style="35" bestFit="1" customWidth="1"/>
    <col min="16087" max="16087" width="20.28515625" style="35" bestFit="1" customWidth="1"/>
    <col min="16088" max="16088" width="0.85546875" style="35" customWidth="1"/>
    <col min="16089" max="16089" width="21.85546875" style="35" bestFit="1" customWidth="1"/>
    <col min="16090" max="16090" width="20.28515625" style="35" bestFit="1" customWidth="1"/>
    <col min="16091" max="16091" width="34.140625" style="35" bestFit="1" customWidth="1"/>
    <col min="16092" max="16092" width="6.85546875" style="35" bestFit="1" customWidth="1"/>
    <col min="16093" max="16093" width="13.42578125" style="35" bestFit="1" customWidth="1"/>
    <col min="16094" max="16094" width="18.140625" style="35" bestFit="1" customWidth="1"/>
    <col min="16095" max="16135" width="10.42578125" style="35"/>
    <col min="16136" max="16136" width="6.85546875" style="35" bestFit="1" customWidth="1"/>
    <col min="16137" max="16137" width="50.28515625" style="35" customWidth="1"/>
    <col min="16138" max="16138" width="0.85546875" style="35" customWidth="1"/>
    <col min="16139" max="16139" width="47.7109375" style="35" customWidth="1"/>
    <col min="16140" max="16140" width="10" style="35" customWidth="1"/>
    <col min="16141" max="16141" width="15.42578125" style="35" bestFit="1" customWidth="1"/>
    <col min="16142" max="16142" width="21.28515625" style="35" bestFit="1" customWidth="1"/>
    <col min="16143" max="16143" width="19.7109375" style="35" bestFit="1" customWidth="1"/>
    <col min="16144" max="16145" width="26.7109375" style="35" customWidth="1"/>
    <col min="16146" max="16338" width="10.42578125" style="35"/>
    <col min="16339" max="16339" width="14.5703125" style="35" bestFit="1" customWidth="1"/>
    <col min="16340" max="16340" width="15.85546875" style="35" bestFit="1" customWidth="1"/>
    <col min="16341" max="16341" width="20.42578125" style="35" bestFit="1" customWidth="1"/>
    <col min="16342" max="16342" width="22.5703125" style="35" bestFit="1" customWidth="1"/>
    <col min="16343" max="16343" width="20.28515625" style="35" bestFit="1" customWidth="1"/>
    <col min="16344" max="16344" width="0.85546875" style="35" customWidth="1"/>
    <col min="16345" max="16345" width="21.85546875" style="35" bestFit="1" customWidth="1"/>
    <col min="16346" max="16346" width="20.28515625" style="35" bestFit="1" customWidth="1"/>
    <col min="16347" max="16347" width="34.140625" style="35" bestFit="1" customWidth="1"/>
    <col min="16348" max="16348" width="6.85546875" style="35" bestFit="1" customWidth="1"/>
    <col min="16349" max="16349" width="13.42578125" style="35" bestFit="1" customWidth="1"/>
    <col min="16350" max="16350" width="18.140625" style="35" bestFit="1" customWidth="1"/>
    <col min="16351" max="16384" width="10.42578125" style="35"/>
  </cols>
  <sheetData>
    <row r="1" spans="2:15" ht="42.75" x14ac:dyDescent="0.5">
      <c r="B1" s="175" t="s">
        <v>68</v>
      </c>
      <c r="C1" s="175"/>
      <c r="D1" s="175"/>
      <c r="E1" s="175"/>
      <c r="I1" s="175" t="s">
        <v>68</v>
      </c>
      <c r="J1" s="175"/>
      <c r="K1" s="175"/>
      <c r="L1" s="175"/>
    </row>
    <row r="2" spans="2:15" ht="27" customHeight="1" x14ac:dyDescent="0.65">
      <c r="B2" s="176" t="s">
        <v>209</v>
      </c>
      <c r="C2" s="176"/>
      <c r="D2" s="176"/>
      <c r="E2" s="176"/>
      <c r="I2" s="176" t="s">
        <v>209</v>
      </c>
      <c r="J2" s="176"/>
      <c r="K2" s="176"/>
      <c r="L2" s="176"/>
    </row>
    <row r="3" spans="2:15" ht="17.25" customHeight="1" thickBot="1" x14ac:dyDescent="0.75">
      <c r="B3" s="37"/>
      <c r="C3" s="37"/>
      <c r="D3" s="37"/>
      <c r="E3" s="58"/>
      <c r="I3" s="37"/>
      <c r="J3" s="37"/>
      <c r="K3" s="37"/>
      <c r="L3" s="58"/>
    </row>
    <row r="4" spans="2:15" ht="24" customHeight="1" thickBot="1" x14ac:dyDescent="0.75">
      <c r="B4" s="88" t="s">
        <v>1</v>
      </c>
      <c r="C4" s="88" t="s">
        <v>0</v>
      </c>
      <c r="D4" s="38"/>
      <c r="E4" s="79" t="s">
        <v>182</v>
      </c>
      <c r="I4" s="88" t="s">
        <v>1</v>
      </c>
      <c r="J4" s="88" t="s">
        <v>0</v>
      </c>
      <c r="K4" s="38"/>
      <c r="L4" s="79" t="s">
        <v>182</v>
      </c>
    </row>
    <row r="5" spans="2:15" ht="24" customHeight="1" x14ac:dyDescent="0.5">
      <c r="B5" s="41">
        <v>1</v>
      </c>
      <c r="C5" s="42" t="s">
        <v>207</v>
      </c>
      <c r="D5" s="28"/>
      <c r="E5" s="40">
        <v>48994841.870967738</v>
      </c>
      <c r="I5" s="41">
        <v>1</v>
      </c>
      <c r="J5" s="42" t="s">
        <v>333</v>
      </c>
      <c r="K5" s="28"/>
      <c r="L5" s="40">
        <v>48994841.870967738</v>
      </c>
      <c r="O5" s="135"/>
    </row>
    <row r="6" spans="2:15" ht="24" customHeight="1" x14ac:dyDescent="0.5">
      <c r="B6" s="41">
        <v>2</v>
      </c>
      <c r="C6" s="42" t="s">
        <v>2</v>
      </c>
      <c r="D6" s="28"/>
      <c r="E6" s="43">
        <v>6608333.3333333358</v>
      </c>
      <c r="I6" s="41">
        <v>2</v>
      </c>
      <c r="J6" s="42" t="s">
        <v>2</v>
      </c>
      <c r="K6" s="28"/>
      <c r="L6" s="43">
        <v>6608333.3333333358</v>
      </c>
      <c r="O6" s="135"/>
    </row>
    <row r="7" spans="2:15" ht="26.25" customHeight="1" x14ac:dyDescent="0.5">
      <c r="B7" s="41">
        <v>3</v>
      </c>
      <c r="C7" s="42" t="s">
        <v>3</v>
      </c>
      <c r="D7" s="28"/>
      <c r="E7" s="43">
        <v>8641666.6666666623</v>
      </c>
      <c r="I7" s="41">
        <v>3</v>
      </c>
      <c r="J7" s="42" t="s">
        <v>3</v>
      </c>
      <c r="K7" s="28"/>
      <c r="L7" s="43">
        <v>8641666.6666666623</v>
      </c>
      <c r="O7" s="135"/>
    </row>
    <row r="8" spans="2:15" ht="26.25" customHeight="1" x14ac:dyDescent="0.5">
      <c r="B8" s="41">
        <v>4</v>
      </c>
      <c r="C8" s="42" t="s">
        <v>4</v>
      </c>
      <c r="D8" s="28"/>
      <c r="E8" s="43">
        <v>5346035.0806451617</v>
      </c>
      <c r="I8" s="41">
        <v>4</v>
      </c>
      <c r="J8" s="42" t="s">
        <v>4</v>
      </c>
      <c r="K8" s="28"/>
      <c r="L8" s="43">
        <v>5346035.0806451617</v>
      </c>
      <c r="O8" s="135"/>
    </row>
    <row r="9" spans="2:15" ht="26.25" customHeight="1" x14ac:dyDescent="0.5">
      <c r="B9" s="41">
        <v>5</v>
      </c>
      <c r="C9" s="42" t="s">
        <v>5</v>
      </c>
      <c r="D9" s="28"/>
      <c r="E9" s="43">
        <v>8031941.2903225804</v>
      </c>
      <c r="I9" s="41">
        <v>5</v>
      </c>
      <c r="J9" s="42" t="s">
        <v>5</v>
      </c>
      <c r="K9" s="28"/>
      <c r="L9" s="43">
        <v>8031941.2903225804</v>
      </c>
      <c r="O9" s="135"/>
    </row>
    <row r="10" spans="2:15" ht="26.25" customHeight="1" x14ac:dyDescent="0.5">
      <c r="B10" s="41">
        <v>6</v>
      </c>
      <c r="C10" s="42" t="s">
        <v>6</v>
      </c>
      <c r="D10" s="28"/>
      <c r="E10" s="43">
        <v>4015970.6451612902</v>
      </c>
      <c r="I10" s="41">
        <v>6</v>
      </c>
      <c r="J10" s="42" t="s">
        <v>6</v>
      </c>
      <c r="K10" s="28"/>
      <c r="L10" s="43">
        <v>4015970.6451612902</v>
      </c>
      <c r="O10" s="135"/>
    </row>
    <row r="11" spans="2:15" ht="26.25" customHeight="1" x14ac:dyDescent="0.5">
      <c r="B11" s="41">
        <v>7</v>
      </c>
      <c r="C11" s="45" t="s">
        <v>70</v>
      </c>
      <c r="D11" s="28"/>
      <c r="E11" s="43" t="s">
        <v>7</v>
      </c>
      <c r="I11" s="41">
        <v>7</v>
      </c>
      <c r="J11" s="45" t="s">
        <v>70</v>
      </c>
      <c r="K11" s="28"/>
      <c r="L11" s="43" t="s">
        <v>7</v>
      </c>
      <c r="O11" s="135"/>
    </row>
    <row r="12" spans="2:15" ht="26.25" customHeight="1" x14ac:dyDescent="0.5">
      <c r="B12" s="41">
        <v>8</v>
      </c>
      <c r="C12" s="42" t="s">
        <v>8</v>
      </c>
      <c r="D12" s="28"/>
      <c r="E12" s="43" t="s">
        <v>7</v>
      </c>
      <c r="I12" s="41">
        <v>8</v>
      </c>
      <c r="J12" s="42" t="s">
        <v>8</v>
      </c>
      <c r="K12" s="28"/>
      <c r="L12" s="43" t="s">
        <v>7</v>
      </c>
      <c r="O12" s="135"/>
    </row>
    <row r="13" spans="2:15" ht="26.25" customHeight="1" x14ac:dyDescent="0.5">
      <c r="B13" s="41">
        <v>9</v>
      </c>
      <c r="C13" s="42" t="s">
        <v>36</v>
      </c>
      <c r="D13" s="28"/>
      <c r="E13" s="43">
        <v>1701833.8100806451</v>
      </c>
      <c r="I13" s="41">
        <v>9</v>
      </c>
      <c r="J13" s="42" t="s">
        <v>36</v>
      </c>
      <c r="K13" s="28"/>
      <c r="L13" s="43">
        <v>1701833.8100806451</v>
      </c>
      <c r="O13" s="135"/>
    </row>
    <row r="14" spans="2:15" ht="26.25" customHeight="1" x14ac:dyDescent="0.5">
      <c r="B14" s="41">
        <v>10</v>
      </c>
      <c r="C14" s="42" t="s">
        <v>206</v>
      </c>
      <c r="D14" s="28"/>
      <c r="E14" s="43" t="s">
        <v>7</v>
      </c>
      <c r="I14" s="41">
        <v>10</v>
      </c>
      <c r="J14" s="42" t="s">
        <v>206</v>
      </c>
      <c r="K14" s="28"/>
      <c r="L14" s="43" t="s">
        <v>7</v>
      </c>
      <c r="O14" s="135"/>
    </row>
    <row r="15" spans="2:15" ht="26.25" customHeight="1" x14ac:dyDescent="0.5">
      <c r="B15" s="41">
        <v>11</v>
      </c>
      <c r="C15" s="42" t="s">
        <v>9</v>
      </c>
      <c r="D15" s="28"/>
      <c r="E15" s="43" t="s">
        <v>7</v>
      </c>
      <c r="I15" s="41">
        <v>11</v>
      </c>
      <c r="J15" s="42" t="s">
        <v>9</v>
      </c>
      <c r="K15" s="28"/>
      <c r="L15" s="43" t="s">
        <v>7</v>
      </c>
      <c r="O15" s="135"/>
    </row>
    <row r="16" spans="2:15" ht="26.25" customHeight="1" x14ac:dyDescent="0.5">
      <c r="B16" s="41">
        <v>12</v>
      </c>
      <c r="C16" s="42" t="s">
        <v>184</v>
      </c>
      <c r="D16" s="28"/>
      <c r="E16" s="43">
        <v>10642386.29910762</v>
      </c>
      <c r="I16" s="41">
        <v>12</v>
      </c>
      <c r="J16" s="42" t="s">
        <v>184</v>
      </c>
      <c r="K16" s="28"/>
      <c r="L16" s="43">
        <v>10642386.29910762</v>
      </c>
      <c r="O16" s="135"/>
    </row>
    <row r="17" spans="1:262" ht="26.25" customHeight="1" x14ac:dyDescent="0.5">
      <c r="B17" s="41">
        <v>13</v>
      </c>
      <c r="C17" s="42" t="s">
        <v>183</v>
      </c>
      <c r="D17" s="28"/>
      <c r="E17" s="43">
        <v>3615904.5709235524</v>
      </c>
      <c r="I17" s="41">
        <v>13</v>
      </c>
      <c r="J17" s="42" t="s">
        <v>183</v>
      </c>
      <c r="K17" s="28"/>
      <c r="L17" s="43">
        <v>3615904.5709235524</v>
      </c>
      <c r="O17" s="135"/>
    </row>
    <row r="18" spans="1:262" ht="26.25" customHeight="1" thickBot="1" x14ac:dyDescent="0.55000000000000004">
      <c r="B18" s="41"/>
      <c r="C18" s="29"/>
      <c r="D18" s="28"/>
      <c r="E18" s="30"/>
      <c r="I18" s="41"/>
      <c r="J18" s="29"/>
      <c r="K18" s="28"/>
      <c r="L18" s="30"/>
      <c r="O18" s="136"/>
    </row>
    <row r="19" spans="1:262" ht="26.25" customHeight="1" thickBot="1" x14ac:dyDescent="0.8">
      <c r="B19" s="171" t="s">
        <v>10</v>
      </c>
      <c r="C19" s="172"/>
      <c r="D19" s="44"/>
      <c r="E19" s="47">
        <f>SUM(E5:E18)</f>
        <v>97598913.567208603</v>
      </c>
      <c r="F19" s="48"/>
      <c r="G19" s="133">
        <v>16.669998710000002</v>
      </c>
      <c r="I19" s="171" t="s">
        <v>10</v>
      </c>
      <c r="J19" s="172"/>
      <c r="K19" s="44"/>
      <c r="L19" s="47">
        <f>SUM(L5:L18)</f>
        <v>97598913.567208603</v>
      </c>
      <c r="M19" s="48"/>
      <c r="N19" s="133">
        <v>16.669998710000002</v>
      </c>
    </row>
    <row r="20" spans="1:262" ht="24.75" customHeight="1" thickBot="1" x14ac:dyDescent="0.8">
      <c r="B20" s="173" t="s">
        <v>11</v>
      </c>
      <c r="C20" s="174"/>
      <c r="D20" s="28"/>
      <c r="E20" s="49">
        <f>E23*G19/100</f>
        <v>20770761.349016815</v>
      </c>
      <c r="F20" s="48"/>
      <c r="G20" s="133">
        <v>5</v>
      </c>
      <c r="I20" s="173" t="s">
        <v>11</v>
      </c>
      <c r="J20" s="174"/>
      <c r="K20" s="28"/>
      <c r="L20" s="49">
        <f>L23*N19/100</f>
        <v>20770761.349016815</v>
      </c>
      <c r="M20" s="48"/>
      <c r="N20" s="133">
        <v>5</v>
      </c>
    </row>
    <row r="21" spans="1:262" ht="27.75" customHeight="1" thickBot="1" x14ac:dyDescent="0.6">
      <c r="B21" s="177" t="s">
        <v>216</v>
      </c>
      <c r="C21" s="178"/>
      <c r="D21" s="44"/>
      <c r="E21" s="91">
        <f>G20</f>
        <v>5</v>
      </c>
      <c r="G21" s="134">
        <f>(100-G19-G20)/100</f>
        <v>0.78330001289999995</v>
      </c>
      <c r="I21" s="177" t="s">
        <v>216</v>
      </c>
      <c r="J21" s="178"/>
      <c r="K21" s="44"/>
      <c r="L21" s="91">
        <f>N20</f>
        <v>5</v>
      </c>
      <c r="N21" s="134">
        <f>(100-N19-N20)/100</f>
        <v>0.78330001289999995</v>
      </c>
    </row>
    <row r="22" spans="1:262" ht="31.5" customHeight="1" thickBot="1" x14ac:dyDescent="0.6">
      <c r="B22" s="179"/>
      <c r="C22" s="180"/>
      <c r="D22" s="44"/>
      <c r="E22" s="92">
        <f>ROUND(E23*G20/100,0)</f>
        <v>6229983</v>
      </c>
      <c r="F22" s="132"/>
      <c r="I22" s="179"/>
      <c r="J22" s="180"/>
      <c r="K22" s="44"/>
      <c r="L22" s="92">
        <f>ROUND(L23*N20/100,0)</f>
        <v>6229983</v>
      </c>
      <c r="M22" s="132"/>
    </row>
    <row r="23" spans="1:262" ht="27.75" customHeight="1" thickBot="1" x14ac:dyDescent="0.8">
      <c r="B23" s="171" t="s">
        <v>37</v>
      </c>
      <c r="C23" s="172"/>
      <c r="D23" s="44"/>
      <c r="E23" s="47">
        <f>E19/G21</f>
        <v>124599657.80655308</v>
      </c>
      <c r="F23" s="50"/>
      <c r="I23" s="171" t="s">
        <v>37</v>
      </c>
      <c r="J23" s="172"/>
      <c r="K23" s="44"/>
      <c r="L23" s="47">
        <f>L19/N21</f>
        <v>124599657.80655308</v>
      </c>
      <c r="M23" s="50"/>
    </row>
    <row r="24" spans="1:262" ht="27.75" customHeight="1" thickBot="1" x14ac:dyDescent="0.8">
      <c r="B24" s="173" t="s">
        <v>12</v>
      </c>
      <c r="C24" s="174"/>
      <c r="D24" s="53"/>
      <c r="E24" s="52">
        <v>31</v>
      </c>
      <c r="F24" s="50"/>
      <c r="I24" s="173" t="s">
        <v>12</v>
      </c>
      <c r="J24" s="174"/>
      <c r="K24" s="53"/>
      <c r="L24" s="52">
        <v>31</v>
      </c>
      <c r="M24" s="50"/>
    </row>
    <row r="25" spans="1:262" ht="27.75" customHeight="1" thickBot="1" x14ac:dyDescent="0.55000000000000004">
      <c r="B25" s="171" t="s">
        <v>13</v>
      </c>
      <c r="C25" s="172"/>
      <c r="D25" s="44"/>
      <c r="E25" s="47">
        <f>E24*E23</f>
        <v>3862589392.0031457</v>
      </c>
      <c r="F25" s="51"/>
      <c r="I25" s="171" t="s">
        <v>13</v>
      </c>
      <c r="J25" s="172"/>
      <c r="K25" s="44"/>
      <c r="L25" s="47">
        <f>L24*L23</f>
        <v>3862589392.0031457</v>
      </c>
      <c r="M25" s="51"/>
    </row>
    <row r="26" spans="1:262" ht="27.75" customHeight="1" thickBot="1" x14ac:dyDescent="0.55000000000000004">
      <c r="B26" s="171" t="s">
        <v>208</v>
      </c>
      <c r="C26" s="172"/>
      <c r="D26" s="56"/>
      <c r="E26" s="47">
        <f>E25*12</f>
        <v>46351072704.03775</v>
      </c>
      <c r="I26" s="171" t="s">
        <v>208</v>
      </c>
      <c r="J26" s="172"/>
      <c r="K26" s="56"/>
      <c r="L26" s="47">
        <f>L25*12</f>
        <v>46351072704.03775</v>
      </c>
    </row>
    <row r="27" spans="1:262" ht="27.75" customHeight="1" x14ac:dyDescent="0.5">
      <c r="B27" s="57"/>
      <c r="C27" s="57"/>
      <c r="D27" s="57"/>
      <c r="E27" s="57"/>
      <c r="I27" s="57"/>
      <c r="J27" s="57"/>
      <c r="K27" s="57"/>
      <c r="L27" s="57"/>
    </row>
    <row r="28" spans="1:262" ht="25.5" hidden="1" customHeight="1" x14ac:dyDescent="0.5">
      <c r="B28" s="57"/>
      <c r="C28" s="57"/>
      <c r="D28" s="57"/>
      <c r="E28" s="80" t="s">
        <v>179</v>
      </c>
      <c r="I28" s="57"/>
      <c r="J28" s="57"/>
      <c r="K28" s="57"/>
      <c r="L28" s="80" t="s">
        <v>179</v>
      </c>
    </row>
    <row r="30" spans="1:262" ht="28.5" customHeight="1" x14ac:dyDescent="0.65">
      <c r="A30" s="26"/>
      <c r="B30" s="59"/>
      <c r="C30" s="59"/>
      <c r="D30" s="60"/>
      <c r="E30" s="60"/>
      <c r="F30" s="27"/>
      <c r="G30" s="54"/>
      <c r="I30" s="59"/>
      <c r="J30" s="59"/>
      <c r="K30" s="60"/>
      <c r="L30" s="60"/>
      <c r="M30" s="27"/>
      <c r="N30" s="54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6"/>
      <c r="CM30" s="26"/>
      <c r="CN30" s="26"/>
      <c r="CO30" s="26"/>
      <c r="CP30" s="26"/>
      <c r="CQ30" s="26"/>
      <c r="CR30" s="26"/>
      <c r="CS30" s="26"/>
      <c r="CT30" s="26"/>
      <c r="CU30" s="26"/>
      <c r="CV30" s="26"/>
      <c r="CW30" s="26"/>
      <c r="CX30" s="26"/>
      <c r="CY30" s="26"/>
      <c r="CZ30" s="26"/>
      <c r="DA30" s="26"/>
      <c r="DB30" s="26"/>
      <c r="DC30" s="26"/>
      <c r="DD30" s="26"/>
      <c r="DE30" s="26"/>
      <c r="DF30" s="26"/>
      <c r="DG30" s="26"/>
      <c r="DH30" s="26"/>
      <c r="DI30" s="26"/>
      <c r="DJ30" s="26"/>
      <c r="DK30" s="26"/>
      <c r="DL30" s="26"/>
      <c r="DM30" s="26"/>
      <c r="DN30" s="26"/>
      <c r="DO30" s="26"/>
      <c r="DP30" s="26"/>
      <c r="DQ30" s="26"/>
      <c r="DR30" s="26"/>
      <c r="DS30" s="26"/>
      <c r="DT30" s="26"/>
      <c r="DU30" s="26"/>
      <c r="DV30" s="26"/>
      <c r="DW30" s="26"/>
      <c r="DX30" s="26"/>
      <c r="DY30" s="26"/>
      <c r="DZ30" s="26"/>
      <c r="EA30" s="26"/>
      <c r="EB30" s="26"/>
      <c r="EC30" s="26"/>
      <c r="ED30" s="26"/>
      <c r="EE30" s="26"/>
      <c r="EF30" s="26"/>
      <c r="EG30" s="26"/>
      <c r="EH30" s="26"/>
      <c r="EI30" s="26"/>
      <c r="EJ30" s="26"/>
      <c r="EK30" s="26"/>
      <c r="EL30" s="26"/>
      <c r="EM30" s="26"/>
      <c r="EN30" s="26"/>
      <c r="EO30" s="26"/>
      <c r="EP30" s="26"/>
      <c r="EQ30" s="26"/>
      <c r="ER30" s="26"/>
      <c r="ES30" s="26"/>
      <c r="ET30" s="26"/>
      <c r="EU30" s="26"/>
      <c r="EV30" s="26"/>
      <c r="EW30" s="26"/>
      <c r="EX30" s="26"/>
      <c r="EY30" s="26"/>
      <c r="EZ30" s="26"/>
      <c r="FA30" s="26"/>
      <c r="FB30" s="26"/>
      <c r="FC30" s="26"/>
      <c r="FD30" s="26"/>
      <c r="FE30" s="26"/>
      <c r="FF30" s="26"/>
      <c r="FG30" s="26"/>
      <c r="FH30" s="26"/>
      <c r="FI30" s="26"/>
      <c r="FJ30" s="26"/>
      <c r="FK30" s="26"/>
      <c r="FL30" s="26"/>
      <c r="FM30" s="26"/>
      <c r="FN30" s="26"/>
      <c r="FO30" s="26"/>
      <c r="FP30" s="26"/>
      <c r="FQ30" s="26"/>
      <c r="FR30" s="26"/>
      <c r="FS30" s="26"/>
      <c r="FT30" s="26"/>
      <c r="FU30" s="26"/>
      <c r="FV30" s="26"/>
      <c r="FW30" s="26"/>
      <c r="FX30" s="26"/>
      <c r="FY30" s="26"/>
      <c r="FZ30" s="26"/>
      <c r="GA30" s="26"/>
      <c r="GB30" s="26"/>
      <c r="GC30" s="26"/>
      <c r="GD30" s="26"/>
      <c r="GE30" s="26"/>
      <c r="GF30" s="26"/>
      <c r="GG30" s="26"/>
      <c r="GH30" s="26"/>
      <c r="GI30" s="26"/>
      <c r="GJ30" s="26"/>
      <c r="GK30" s="26"/>
      <c r="GL30" s="26"/>
      <c r="GM30" s="26"/>
      <c r="GN30" s="26"/>
      <c r="GO30" s="26"/>
      <c r="GP30" s="26"/>
      <c r="GQ30" s="26"/>
      <c r="GR30" s="26"/>
      <c r="GS30" s="26"/>
      <c r="GT30" s="26"/>
      <c r="GU30" s="26"/>
      <c r="GV30" s="26"/>
      <c r="GW30" s="26"/>
      <c r="GX30" s="26"/>
      <c r="GY30" s="26"/>
      <c r="GZ30" s="26"/>
      <c r="HA30" s="26"/>
      <c r="HB30" s="26"/>
      <c r="HC30" s="26"/>
      <c r="HD30" s="26"/>
      <c r="HE30" s="26"/>
      <c r="HF30" s="26"/>
      <c r="HG30" s="26"/>
      <c r="HH30" s="26"/>
      <c r="HI30" s="26"/>
      <c r="HJ30" s="26"/>
      <c r="HK30" s="26"/>
      <c r="HL30" s="26"/>
      <c r="HM30" s="26"/>
      <c r="HN30" s="26"/>
      <c r="HO30" s="26"/>
      <c r="HP30" s="26"/>
      <c r="HQ30" s="26"/>
      <c r="HR30" s="26"/>
      <c r="HS30" s="26"/>
      <c r="HT30" s="26"/>
      <c r="HU30" s="26"/>
      <c r="HV30" s="26"/>
      <c r="HW30" s="26"/>
      <c r="HX30" s="26"/>
      <c r="HY30" s="26"/>
      <c r="HZ30" s="26"/>
      <c r="IA30" s="26"/>
      <c r="IB30" s="26"/>
      <c r="IC30" s="26"/>
      <c r="ID30" s="26"/>
      <c r="IE30" s="26"/>
      <c r="IF30" s="26"/>
      <c r="IG30" s="26"/>
      <c r="IH30" s="26"/>
      <c r="II30" s="26"/>
      <c r="IJ30" s="26"/>
      <c r="IK30" s="26"/>
      <c r="IL30" s="26"/>
      <c r="IM30" s="26"/>
      <c r="IN30" s="26"/>
      <c r="IO30" s="26"/>
      <c r="IP30" s="26"/>
      <c r="IQ30" s="26"/>
      <c r="IR30" s="26"/>
      <c r="IS30" s="26"/>
      <c r="IT30" s="26"/>
      <c r="IU30" s="26"/>
      <c r="IV30" s="26"/>
      <c r="IW30" s="26"/>
      <c r="IX30" s="26"/>
      <c r="IY30" s="26"/>
      <c r="IZ30" s="26"/>
      <c r="JA30" s="26"/>
      <c r="JB30" s="26"/>
    </row>
    <row r="31" spans="1:262" ht="26.25" customHeight="1" x14ac:dyDescent="0.65">
      <c r="A31" s="26"/>
      <c r="B31" s="59"/>
      <c r="C31" s="59"/>
      <c r="D31" s="60"/>
      <c r="E31" s="60"/>
      <c r="F31" s="27"/>
      <c r="G31" s="26"/>
      <c r="I31" s="59"/>
      <c r="J31" s="59"/>
      <c r="K31" s="60"/>
      <c r="L31" s="60"/>
      <c r="M31" s="27"/>
      <c r="N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/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26"/>
      <c r="CG31" s="26"/>
      <c r="CH31" s="26"/>
      <c r="CI31" s="26"/>
      <c r="CJ31" s="26"/>
      <c r="CK31" s="26"/>
      <c r="CL31" s="26"/>
      <c r="CM31" s="26"/>
      <c r="CN31" s="26"/>
      <c r="CO31" s="26"/>
      <c r="CP31" s="26"/>
      <c r="CQ31" s="26"/>
      <c r="CR31" s="26"/>
      <c r="CS31" s="26"/>
      <c r="CT31" s="26"/>
      <c r="CU31" s="26"/>
      <c r="CV31" s="26"/>
      <c r="CW31" s="26"/>
      <c r="CX31" s="26"/>
      <c r="CY31" s="26"/>
      <c r="CZ31" s="26"/>
      <c r="DA31" s="26"/>
      <c r="DB31" s="26"/>
      <c r="DC31" s="26"/>
      <c r="DD31" s="26"/>
      <c r="DE31" s="26"/>
      <c r="DF31" s="26"/>
      <c r="DG31" s="26"/>
      <c r="DH31" s="26"/>
      <c r="DI31" s="26"/>
      <c r="DJ31" s="26"/>
      <c r="DK31" s="26"/>
      <c r="DL31" s="26"/>
      <c r="DM31" s="26"/>
      <c r="DN31" s="26"/>
      <c r="DO31" s="26"/>
      <c r="DP31" s="26"/>
      <c r="DQ31" s="26"/>
      <c r="DR31" s="26"/>
      <c r="DS31" s="26"/>
      <c r="DT31" s="26"/>
      <c r="DU31" s="26"/>
      <c r="DV31" s="26"/>
      <c r="DW31" s="26"/>
      <c r="DX31" s="26"/>
      <c r="DY31" s="26"/>
      <c r="DZ31" s="26"/>
      <c r="EA31" s="26"/>
      <c r="EB31" s="26"/>
      <c r="EC31" s="26"/>
      <c r="ED31" s="26"/>
      <c r="EE31" s="26"/>
      <c r="EF31" s="26"/>
      <c r="EG31" s="26"/>
      <c r="EH31" s="26"/>
      <c r="EI31" s="26"/>
      <c r="EJ31" s="26"/>
      <c r="EK31" s="26"/>
      <c r="EL31" s="26"/>
      <c r="EM31" s="26"/>
      <c r="EN31" s="26"/>
      <c r="EO31" s="26"/>
      <c r="EP31" s="26"/>
      <c r="EQ31" s="26"/>
      <c r="ER31" s="26"/>
      <c r="ES31" s="26"/>
      <c r="ET31" s="26"/>
      <c r="EU31" s="26"/>
      <c r="EV31" s="26"/>
      <c r="EW31" s="26"/>
      <c r="EX31" s="26"/>
      <c r="EY31" s="26"/>
      <c r="EZ31" s="26"/>
      <c r="FA31" s="26"/>
      <c r="FB31" s="26"/>
      <c r="FC31" s="26"/>
      <c r="FD31" s="26"/>
      <c r="FE31" s="26"/>
      <c r="FF31" s="26"/>
      <c r="FG31" s="26"/>
      <c r="FH31" s="26"/>
      <c r="FI31" s="26"/>
      <c r="FJ31" s="26"/>
      <c r="FK31" s="26"/>
      <c r="FL31" s="26"/>
      <c r="FM31" s="26"/>
      <c r="FN31" s="26"/>
      <c r="FO31" s="26"/>
      <c r="FP31" s="26"/>
      <c r="FQ31" s="26"/>
      <c r="FR31" s="26"/>
      <c r="FS31" s="26"/>
      <c r="FT31" s="26"/>
      <c r="FU31" s="26"/>
      <c r="FV31" s="26"/>
      <c r="FW31" s="26"/>
      <c r="FX31" s="26"/>
      <c r="FY31" s="26"/>
      <c r="FZ31" s="26"/>
      <c r="GA31" s="26"/>
      <c r="GB31" s="26"/>
      <c r="GC31" s="26"/>
      <c r="GD31" s="26"/>
      <c r="GE31" s="26"/>
      <c r="GF31" s="26"/>
      <c r="GG31" s="26"/>
      <c r="GH31" s="26"/>
      <c r="GI31" s="26"/>
      <c r="GJ31" s="26"/>
      <c r="GK31" s="26"/>
      <c r="GL31" s="26"/>
      <c r="GM31" s="26"/>
      <c r="GN31" s="26"/>
      <c r="GO31" s="26"/>
      <c r="GP31" s="26"/>
      <c r="GQ31" s="26"/>
      <c r="GR31" s="26"/>
      <c r="GS31" s="26"/>
      <c r="GT31" s="26"/>
      <c r="GU31" s="26"/>
      <c r="GV31" s="26"/>
      <c r="GW31" s="26"/>
      <c r="GX31" s="26"/>
      <c r="GY31" s="26"/>
      <c r="GZ31" s="26"/>
      <c r="HA31" s="26"/>
      <c r="HB31" s="26"/>
      <c r="HC31" s="26"/>
      <c r="HD31" s="26"/>
      <c r="HE31" s="26"/>
      <c r="HF31" s="26"/>
      <c r="HG31" s="26"/>
      <c r="HH31" s="26"/>
      <c r="HI31" s="26"/>
      <c r="HJ31" s="26"/>
      <c r="HK31" s="26"/>
      <c r="HL31" s="26"/>
      <c r="HM31" s="26"/>
      <c r="HN31" s="26"/>
      <c r="HO31" s="26"/>
      <c r="HP31" s="26"/>
      <c r="HQ31" s="26"/>
      <c r="HR31" s="26"/>
      <c r="HS31" s="26"/>
      <c r="HT31" s="26"/>
      <c r="HU31" s="26"/>
      <c r="HV31" s="26"/>
      <c r="HW31" s="26"/>
      <c r="HX31" s="26"/>
      <c r="HY31" s="26"/>
      <c r="HZ31" s="26"/>
      <c r="IA31" s="26"/>
      <c r="IB31" s="26"/>
      <c r="IC31" s="26"/>
      <c r="ID31" s="26"/>
      <c r="IE31" s="26"/>
      <c r="IF31" s="26"/>
      <c r="IG31" s="26"/>
      <c r="IH31" s="26"/>
      <c r="II31" s="26"/>
      <c r="IJ31" s="26"/>
      <c r="IK31" s="26"/>
      <c r="IL31" s="26"/>
      <c r="IM31" s="26"/>
      <c r="IN31" s="26"/>
      <c r="IO31" s="26"/>
      <c r="IP31" s="26"/>
      <c r="IQ31" s="26"/>
      <c r="IR31" s="26"/>
      <c r="IS31" s="26"/>
      <c r="IT31" s="26"/>
      <c r="IU31" s="26"/>
      <c r="IV31" s="26"/>
      <c r="IW31" s="26"/>
      <c r="IX31" s="26"/>
      <c r="IY31" s="26"/>
      <c r="IZ31" s="26"/>
      <c r="JA31" s="26"/>
      <c r="JB31" s="26"/>
    </row>
    <row r="32" spans="1:262" s="26" customFormat="1" ht="26.25" customHeight="1" x14ac:dyDescent="0.65">
      <c r="B32" s="61"/>
      <c r="C32" s="61"/>
      <c r="D32" s="61"/>
      <c r="E32" s="61"/>
      <c r="F32" s="27"/>
      <c r="H32" s="35"/>
      <c r="I32" s="61"/>
      <c r="J32" s="61"/>
      <c r="K32" s="61"/>
      <c r="L32" s="61"/>
      <c r="M32" s="27"/>
      <c r="O32" s="35"/>
    </row>
    <row r="33" spans="1:262" s="26" customFormat="1" ht="27.75" x14ac:dyDescent="0.65">
      <c r="B33" s="61"/>
      <c r="C33" s="61"/>
      <c r="D33" s="61"/>
      <c r="E33" s="61"/>
      <c r="F33" s="27"/>
      <c r="H33" s="35"/>
      <c r="I33" s="61"/>
      <c r="J33" s="61"/>
      <c r="K33" s="61"/>
      <c r="L33" s="61"/>
      <c r="M33" s="27"/>
      <c r="O33" s="35"/>
    </row>
    <row r="34" spans="1:262" s="26" customFormat="1" ht="27.75" x14ac:dyDescent="0.65">
      <c r="B34" s="61"/>
      <c r="C34" s="61"/>
      <c r="D34" s="61"/>
      <c r="E34" s="61"/>
      <c r="F34" s="27"/>
      <c r="I34" s="61"/>
      <c r="J34" s="61"/>
      <c r="K34" s="61"/>
      <c r="L34" s="61"/>
      <c r="M34" s="27"/>
    </row>
    <row r="35" spans="1:262" s="26" customFormat="1" ht="27.75" x14ac:dyDescent="0.65">
      <c r="B35" s="61"/>
      <c r="C35" s="61"/>
      <c r="D35" s="61"/>
      <c r="E35" s="61"/>
      <c r="F35" s="27"/>
      <c r="I35" s="61"/>
      <c r="J35" s="61"/>
      <c r="K35" s="61"/>
      <c r="L35" s="61"/>
      <c r="M35" s="27"/>
    </row>
    <row r="36" spans="1:262" s="26" customFormat="1" ht="27.75" x14ac:dyDescent="0.65">
      <c r="B36" s="61"/>
      <c r="C36" s="61"/>
      <c r="D36" s="61"/>
      <c r="E36" s="61"/>
      <c r="F36" s="27"/>
      <c r="I36" s="61"/>
      <c r="J36" s="61"/>
      <c r="K36" s="61"/>
      <c r="L36" s="61"/>
      <c r="M36" s="27"/>
    </row>
    <row r="37" spans="1:262" s="26" customFormat="1" ht="27.75" x14ac:dyDescent="0.65">
      <c r="B37" s="61"/>
      <c r="C37" s="61"/>
      <c r="D37" s="61"/>
      <c r="E37" s="61"/>
      <c r="F37" s="27"/>
      <c r="I37" s="61"/>
      <c r="J37" s="61"/>
      <c r="K37" s="61"/>
      <c r="L37" s="61"/>
      <c r="M37" s="27"/>
    </row>
    <row r="38" spans="1:262" s="26" customFormat="1" ht="27.75" x14ac:dyDescent="0.65">
      <c r="B38" s="61"/>
      <c r="C38" s="61"/>
      <c r="D38" s="61"/>
      <c r="E38" s="61"/>
      <c r="F38" s="27"/>
      <c r="I38" s="61"/>
      <c r="J38" s="61"/>
      <c r="K38" s="61"/>
      <c r="L38" s="61"/>
      <c r="M38" s="27"/>
    </row>
    <row r="39" spans="1:262" s="26" customFormat="1" ht="27.75" x14ac:dyDescent="0.65">
      <c r="B39" s="61"/>
      <c r="C39" s="61"/>
      <c r="D39" s="61"/>
      <c r="E39" s="61"/>
      <c r="F39" s="27"/>
      <c r="I39" s="61"/>
      <c r="J39" s="61"/>
      <c r="K39" s="61"/>
      <c r="L39" s="61"/>
      <c r="M39" s="27"/>
    </row>
    <row r="40" spans="1:262" s="26" customFormat="1" ht="27.75" x14ac:dyDescent="0.65">
      <c r="B40" s="61"/>
      <c r="C40" s="61"/>
      <c r="D40" s="61"/>
      <c r="E40" s="61"/>
      <c r="F40" s="27"/>
      <c r="I40" s="61"/>
      <c r="J40" s="61"/>
      <c r="K40" s="61"/>
      <c r="L40" s="61"/>
      <c r="M40" s="27"/>
    </row>
    <row r="41" spans="1:262" s="26" customFormat="1" ht="27.75" x14ac:dyDescent="0.65">
      <c r="A41" s="35"/>
      <c r="B41" s="55"/>
      <c r="C41" s="55"/>
      <c r="D41" s="55"/>
      <c r="E41" s="55"/>
      <c r="F41" s="36"/>
      <c r="G41" s="35"/>
      <c r="H41" s="35"/>
      <c r="I41" s="55"/>
      <c r="J41" s="55"/>
      <c r="K41" s="55"/>
      <c r="L41" s="55"/>
      <c r="M41" s="36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  <c r="CN41" s="35"/>
      <c r="CO41" s="35"/>
      <c r="CP41" s="35"/>
      <c r="CQ41" s="35"/>
      <c r="CR41" s="35"/>
      <c r="CS41" s="35"/>
      <c r="CT41" s="35"/>
      <c r="CU41" s="35"/>
      <c r="CV41" s="35"/>
      <c r="CW41" s="35"/>
      <c r="CX41" s="35"/>
      <c r="CY41" s="35"/>
      <c r="CZ41" s="35"/>
      <c r="DA41" s="35"/>
      <c r="DB41" s="35"/>
      <c r="DC41" s="35"/>
      <c r="DD41" s="35"/>
      <c r="DE41" s="35"/>
      <c r="DF41" s="35"/>
      <c r="DG41" s="35"/>
      <c r="DH41" s="35"/>
      <c r="DI41" s="35"/>
      <c r="DJ41" s="35"/>
      <c r="DK41" s="35"/>
      <c r="DL41" s="35"/>
      <c r="DM41" s="35"/>
      <c r="DN41" s="35"/>
      <c r="DO41" s="35"/>
      <c r="DP41" s="35"/>
      <c r="DQ41" s="35"/>
      <c r="DR41" s="35"/>
      <c r="DS41" s="35"/>
      <c r="DT41" s="35"/>
      <c r="DU41" s="35"/>
      <c r="DV41" s="35"/>
      <c r="DW41" s="35"/>
      <c r="DX41" s="35"/>
      <c r="DY41" s="35"/>
      <c r="DZ41" s="35"/>
      <c r="EA41" s="35"/>
      <c r="EB41" s="35"/>
      <c r="EC41" s="35"/>
      <c r="ED41" s="35"/>
      <c r="EE41" s="35"/>
      <c r="EF41" s="35"/>
      <c r="EG41" s="35"/>
      <c r="EH41" s="35"/>
      <c r="EI41" s="35"/>
      <c r="EJ41" s="35"/>
      <c r="EK41" s="35"/>
      <c r="EL41" s="35"/>
      <c r="EM41" s="35"/>
      <c r="EN41" s="35"/>
      <c r="EO41" s="35"/>
      <c r="EP41" s="35"/>
      <c r="EQ41" s="35"/>
      <c r="ER41" s="35"/>
      <c r="ES41" s="35"/>
      <c r="ET41" s="35"/>
      <c r="EU41" s="35"/>
      <c r="EV41" s="35"/>
      <c r="EW41" s="35"/>
      <c r="EX41" s="35"/>
      <c r="EY41" s="35"/>
      <c r="EZ41" s="35"/>
      <c r="FA41" s="35"/>
      <c r="FB41" s="35"/>
      <c r="FC41" s="35"/>
      <c r="FD41" s="35"/>
      <c r="FE41" s="35"/>
      <c r="FF41" s="35"/>
      <c r="FG41" s="35"/>
      <c r="FH41" s="35"/>
      <c r="FI41" s="35"/>
      <c r="FJ41" s="35"/>
      <c r="FK41" s="35"/>
      <c r="FL41" s="35"/>
      <c r="FM41" s="35"/>
      <c r="FN41" s="35"/>
      <c r="FO41" s="35"/>
      <c r="FP41" s="35"/>
      <c r="FQ41" s="35"/>
      <c r="FR41" s="35"/>
      <c r="FS41" s="35"/>
      <c r="FT41" s="35"/>
      <c r="FU41" s="35"/>
      <c r="FV41" s="35"/>
      <c r="FW41" s="35"/>
      <c r="FX41" s="35"/>
      <c r="FY41" s="35"/>
      <c r="FZ41" s="35"/>
      <c r="GA41" s="35"/>
      <c r="GB41" s="35"/>
      <c r="GC41" s="35"/>
      <c r="GD41" s="35"/>
      <c r="GE41" s="35"/>
      <c r="GF41" s="35"/>
      <c r="GG41" s="35"/>
      <c r="GH41" s="35"/>
      <c r="GI41" s="35"/>
      <c r="GJ41" s="35"/>
      <c r="GK41" s="35"/>
      <c r="GL41" s="35"/>
      <c r="GM41" s="35"/>
      <c r="GN41" s="35"/>
      <c r="GO41" s="35"/>
      <c r="GP41" s="35"/>
      <c r="GQ41" s="35"/>
      <c r="GR41" s="35"/>
      <c r="GS41" s="35"/>
      <c r="GT41" s="35"/>
      <c r="GU41" s="35"/>
      <c r="GV41" s="35"/>
      <c r="GW41" s="35"/>
      <c r="GX41" s="35"/>
      <c r="GY41" s="35"/>
      <c r="GZ41" s="35"/>
      <c r="HA41" s="35"/>
      <c r="HB41" s="35"/>
      <c r="HC41" s="35"/>
      <c r="HD41" s="35"/>
      <c r="HE41" s="35"/>
      <c r="HF41" s="35"/>
      <c r="HG41" s="35"/>
      <c r="HH41" s="35"/>
      <c r="HI41" s="35"/>
      <c r="HJ41" s="35"/>
      <c r="HK41" s="35"/>
      <c r="HL41" s="35"/>
      <c r="HM41" s="35"/>
      <c r="HN41" s="35"/>
      <c r="HO41" s="35"/>
      <c r="HP41" s="35"/>
      <c r="HQ41" s="35"/>
      <c r="HR41" s="35"/>
      <c r="HS41" s="35"/>
      <c r="HT41" s="35"/>
      <c r="HU41" s="35"/>
      <c r="HV41" s="35"/>
      <c r="HW41" s="35"/>
      <c r="HX41" s="35"/>
      <c r="HY41" s="35"/>
      <c r="HZ41" s="35"/>
      <c r="IA41" s="35"/>
      <c r="IB41" s="35"/>
      <c r="IC41" s="35"/>
      <c r="ID41" s="35"/>
      <c r="IE41" s="35"/>
      <c r="IF41" s="35"/>
      <c r="IG41" s="35"/>
      <c r="IH41" s="35"/>
      <c r="II41" s="35"/>
      <c r="IJ41" s="35"/>
      <c r="IK41" s="35"/>
      <c r="IL41" s="35"/>
      <c r="IM41" s="35"/>
      <c r="IN41" s="35"/>
      <c r="IO41" s="35"/>
      <c r="IP41" s="35"/>
      <c r="IQ41" s="35"/>
      <c r="IR41" s="35"/>
      <c r="IS41" s="35"/>
      <c r="IT41" s="35"/>
      <c r="IU41" s="35"/>
      <c r="IV41" s="35"/>
      <c r="IW41" s="35"/>
      <c r="IX41" s="35"/>
      <c r="IY41" s="35"/>
      <c r="IZ41" s="35"/>
      <c r="JA41" s="35"/>
      <c r="JB41" s="35"/>
    </row>
    <row r="42" spans="1:262" s="26" customFormat="1" ht="27.75" x14ac:dyDescent="0.65">
      <c r="A42" s="35"/>
      <c r="B42" s="55"/>
      <c r="C42" s="55"/>
      <c r="D42" s="55"/>
      <c r="E42" s="55"/>
      <c r="F42" s="36"/>
      <c r="G42" s="35"/>
      <c r="H42" s="35"/>
      <c r="I42" s="55"/>
      <c r="J42" s="55"/>
      <c r="K42" s="55"/>
      <c r="L42" s="55"/>
      <c r="M42" s="36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  <c r="CN42" s="35"/>
      <c r="CO42" s="35"/>
      <c r="CP42" s="35"/>
      <c r="CQ42" s="35"/>
      <c r="CR42" s="35"/>
      <c r="CS42" s="35"/>
      <c r="CT42" s="35"/>
      <c r="CU42" s="35"/>
      <c r="CV42" s="35"/>
      <c r="CW42" s="35"/>
      <c r="CX42" s="35"/>
      <c r="CY42" s="35"/>
      <c r="CZ42" s="35"/>
      <c r="DA42" s="35"/>
      <c r="DB42" s="35"/>
      <c r="DC42" s="35"/>
      <c r="DD42" s="35"/>
      <c r="DE42" s="35"/>
      <c r="DF42" s="35"/>
      <c r="DG42" s="35"/>
      <c r="DH42" s="35"/>
      <c r="DI42" s="35"/>
      <c r="DJ42" s="35"/>
      <c r="DK42" s="35"/>
      <c r="DL42" s="35"/>
      <c r="DM42" s="35"/>
      <c r="DN42" s="35"/>
      <c r="DO42" s="35"/>
      <c r="DP42" s="35"/>
      <c r="DQ42" s="35"/>
      <c r="DR42" s="35"/>
      <c r="DS42" s="35"/>
      <c r="DT42" s="35"/>
      <c r="DU42" s="35"/>
      <c r="DV42" s="35"/>
      <c r="DW42" s="35"/>
      <c r="DX42" s="35"/>
      <c r="DY42" s="35"/>
      <c r="DZ42" s="35"/>
      <c r="EA42" s="35"/>
      <c r="EB42" s="35"/>
      <c r="EC42" s="35"/>
      <c r="ED42" s="35"/>
      <c r="EE42" s="35"/>
      <c r="EF42" s="35"/>
      <c r="EG42" s="35"/>
      <c r="EH42" s="35"/>
      <c r="EI42" s="35"/>
      <c r="EJ42" s="35"/>
      <c r="EK42" s="35"/>
      <c r="EL42" s="35"/>
      <c r="EM42" s="35"/>
      <c r="EN42" s="35"/>
      <c r="EO42" s="35"/>
      <c r="EP42" s="35"/>
      <c r="EQ42" s="35"/>
      <c r="ER42" s="35"/>
      <c r="ES42" s="35"/>
      <c r="ET42" s="35"/>
      <c r="EU42" s="35"/>
      <c r="EV42" s="35"/>
      <c r="EW42" s="35"/>
      <c r="EX42" s="35"/>
      <c r="EY42" s="35"/>
      <c r="EZ42" s="35"/>
      <c r="FA42" s="35"/>
      <c r="FB42" s="35"/>
      <c r="FC42" s="35"/>
      <c r="FD42" s="35"/>
      <c r="FE42" s="35"/>
      <c r="FF42" s="35"/>
      <c r="FG42" s="35"/>
      <c r="FH42" s="35"/>
      <c r="FI42" s="35"/>
      <c r="FJ42" s="35"/>
      <c r="FK42" s="35"/>
      <c r="FL42" s="35"/>
      <c r="FM42" s="35"/>
      <c r="FN42" s="35"/>
      <c r="FO42" s="35"/>
      <c r="FP42" s="35"/>
      <c r="FQ42" s="35"/>
      <c r="FR42" s="35"/>
      <c r="FS42" s="35"/>
      <c r="FT42" s="35"/>
      <c r="FU42" s="35"/>
      <c r="FV42" s="35"/>
      <c r="FW42" s="35"/>
      <c r="FX42" s="35"/>
      <c r="FY42" s="35"/>
      <c r="FZ42" s="35"/>
      <c r="GA42" s="35"/>
      <c r="GB42" s="35"/>
      <c r="GC42" s="35"/>
      <c r="GD42" s="35"/>
      <c r="GE42" s="35"/>
      <c r="GF42" s="35"/>
      <c r="GG42" s="35"/>
      <c r="GH42" s="35"/>
      <c r="GI42" s="35"/>
      <c r="GJ42" s="35"/>
      <c r="GK42" s="35"/>
      <c r="GL42" s="35"/>
      <c r="GM42" s="35"/>
      <c r="GN42" s="35"/>
      <c r="GO42" s="35"/>
      <c r="GP42" s="35"/>
      <c r="GQ42" s="35"/>
      <c r="GR42" s="35"/>
      <c r="GS42" s="35"/>
      <c r="GT42" s="35"/>
      <c r="GU42" s="35"/>
      <c r="GV42" s="35"/>
      <c r="GW42" s="35"/>
      <c r="GX42" s="35"/>
      <c r="GY42" s="35"/>
      <c r="GZ42" s="35"/>
      <c r="HA42" s="35"/>
      <c r="HB42" s="35"/>
      <c r="HC42" s="35"/>
      <c r="HD42" s="35"/>
      <c r="HE42" s="35"/>
      <c r="HF42" s="35"/>
      <c r="HG42" s="35"/>
      <c r="HH42" s="35"/>
      <c r="HI42" s="35"/>
      <c r="HJ42" s="35"/>
      <c r="HK42" s="35"/>
      <c r="HL42" s="35"/>
      <c r="HM42" s="35"/>
      <c r="HN42" s="35"/>
      <c r="HO42" s="35"/>
      <c r="HP42" s="35"/>
      <c r="HQ42" s="35"/>
      <c r="HR42" s="35"/>
      <c r="HS42" s="35"/>
      <c r="HT42" s="35"/>
      <c r="HU42" s="35"/>
      <c r="HV42" s="35"/>
      <c r="HW42" s="35"/>
      <c r="HX42" s="35"/>
      <c r="HY42" s="35"/>
      <c r="HZ42" s="35"/>
      <c r="IA42" s="35"/>
      <c r="IB42" s="35"/>
      <c r="IC42" s="35"/>
      <c r="ID42" s="35"/>
      <c r="IE42" s="35"/>
      <c r="IF42" s="35"/>
      <c r="IG42" s="35"/>
      <c r="IH42" s="35"/>
      <c r="II42" s="35"/>
      <c r="IJ42" s="35"/>
      <c r="IK42" s="35"/>
      <c r="IL42" s="35"/>
      <c r="IM42" s="35"/>
      <c r="IN42" s="35"/>
      <c r="IO42" s="35"/>
      <c r="IP42" s="35"/>
      <c r="IQ42" s="35"/>
      <c r="IR42" s="35"/>
      <c r="IS42" s="35"/>
      <c r="IT42" s="35"/>
      <c r="IU42" s="35"/>
      <c r="IV42" s="35"/>
      <c r="IW42" s="35"/>
      <c r="IX42" s="35"/>
      <c r="IY42" s="35"/>
      <c r="IZ42" s="35"/>
      <c r="JA42" s="35"/>
      <c r="JB42" s="35"/>
    </row>
    <row r="52" ht="27" customHeight="1" x14ac:dyDescent="0.5"/>
  </sheetData>
  <mergeCells count="18">
    <mergeCell ref="I25:J25"/>
    <mergeCell ref="I26:J26"/>
    <mergeCell ref="B24:C24"/>
    <mergeCell ref="B25:C25"/>
    <mergeCell ref="B26:C26"/>
    <mergeCell ref="I23:J23"/>
    <mergeCell ref="I24:J24"/>
    <mergeCell ref="B1:E1"/>
    <mergeCell ref="B2:E2"/>
    <mergeCell ref="B19:C19"/>
    <mergeCell ref="B20:C20"/>
    <mergeCell ref="B21:C22"/>
    <mergeCell ref="B23:C23"/>
    <mergeCell ref="I1:L1"/>
    <mergeCell ref="I2:L2"/>
    <mergeCell ref="I19:J19"/>
    <mergeCell ref="I20:J20"/>
    <mergeCell ref="I21:J22"/>
  </mergeCells>
  <printOptions horizontalCentered="1"/>
  <pageMargins left="0.24" right="0.27" top="0.27" bottom="0.91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7"/>
  <sheetViews>
    <sheetView rightToLeft="1" zoomScale="50" zoomScaleNormal="50" workbookViewId="0">
      <selection activeCell="AV3" sqref="AV3"/>
    </sheetView>
  </sheetViews>
  <sheetFormatPr defaultRowHeight="23.25" x14ac:dyDescent="0.55000000000000004"/>
  <cols>
    <col min="1" max="1" width="8" style="74" customWidth="1"/>
    <col min="2" max="2" width="7.140625" style="75" customWidth="1"/>
    <col min="3" max="3" width="17" style="75" bestFit="1" customWidth="1"/>
    <col min="4" max="4" width="20.28515625" style="75" bestFit="1" customWidth="1"/>
    <col min="5" max="5" width="2.7109375" style="75" hidden="1" customWidth="1"/>
    <col min="6" max="6" width="5.5703125" style="75" hidden="1" customWidth="1"/>
    <col min="7" max="7" width="14.42578125" style="76" hidden="1" customWidth="1"/>
    <col min="8" max="8" width="18.42578125" style="75" hidden="1" customWidth="1"/>
    <col min="9" max="9" width="13" style="75" hidden="1" customWidth="1"/>
    <col min="10" max="10" width="16.7109375" style="75" hidden="1" customWidth="1"/>
    <col min="11" max="11" width="14.7109375" style="74" hidden="1" customWidth="1"/>
    <col min="12" max="12" width="18.42578125" style="74" hidden="1" customWidth="1"/>
    <col min="13" max="13" width="16.7109375" style="74" hidden="1" customWidth="1"/>
    <col min="14" max="14" width="4.140625" style="75" hidden="1" customWidth="1"/>
    <col min="15" max="15" width="7.28515625" style="75" hidden="1" customWidth="1"/>
    <col min="16" max="16" width="11.140625" style="140" bestFit="1" customWidth="1"/>
    <col min="17" max="17" width="5.5703125" style="140" bestFit="1" customWidth="1"/>
    <col min="18" max="18" width="13.140625" style="140" bestFit="1" customWidth="1"/>
    <col min="19" max="19" width="11.5703125" style="140" bestFit="1" customWidth="1"/>
    <col min="20" max="20" width="14.140625" style="140" bestFit="1" customWidth="1"/>
    <col min="21" max="21" width="14.7109375" style="140" bestFit="1" customWidth="1"/>
    <col min="22" max="22" width="16.28515625" style="140" bestFit="1" customWidth="1"/>
    <col min="23" max="23" width="12.5703125" style="140" bestFit="1" customWidth="1"/>
    <col min="24" max="25" width="14.7109375" style="140" bestFit="1" customWidth="1"/>
    <col min="26" max="26" width="14.7109375" style="140" customWidth="1"/>
    <col min="27" max="27" width="19.140625" style="140" customWidth="1"/>
    <col min="28" max="28" width="11.140625" style="75" bestFit="1" customWidth="1"/>
    <col min="29" max="29" width="16.5703125" style="75" hidden="1" customWidth="1"/>
    <col min="30" max="30" width="51.5703125" style="75" hidden="1" customWidth="1"/>
    <col min="31" max="31" width="15.28515625" style="75" hidden="1" customWidth="1"/>
    <col min="32" max="32" width="51.5703125" style="77" bestFit="1" customWidth="1"/>
    <col min="33" max="33" width="10.42578125" style="78" bestFit="1" customWidth="1"/>
    <col min="34" max="34" width="6.7109375" style="75" customWidth="1"/>
    <col min="35" max="37" width="14.140625" style="75" hidden="1" customWidth="1"/>
    <col min="38" max="38" width="14.140625" style="75" customWidth="1"/>
    <col min="39" max="39" width="12.85546875" style="75" customWidth="1"/>
    <col min="40" max="40" width="13.7109375" style="75" customWidth="1"/>
    <col min="41" max="41" width="14.28515625" style="75" customWidth="1"/>
    <col min="42" max="42" width="17.28515625" style="75" customWidth="1"/>
    <col min="43" max="43" width="13.140625" style="75" customWidth="1"/>
    <col min="44" max="44" width="16.28515625" style="75" customWidth="1"/>
    <col min="45" max="45" width="13.140625" style="75" customWidth="1"/>
    <col min="46" max="46" width="18.140625" style="75" customWidth="1"/>
    <col min="47" max="47" width="23" style="75" customWidth="1"/>
    <col min="48" max="48" width="7.7109375" style="75" bestFit="1" customWidth="1"/>
    <col min="49" max="49" width="39.140625" style="75" bestFit="1" customWidth="1"/>
    <col min="50" max="50" width="20.28515625" style="75" bestFit="1" customWidth="1"/>
    <col min="51" max="51" width="31.140625" style="75" bestFit="1" customWidth="1"/>
    <col min="52" max="52" width="19" style="75" bestFit="1" customWidth="1"/>
    <col min="53" max="53" width="12.5703125" style="75" bestFit="1" customWidth="1"/>
    <col min="54" max="54" width="13" style="75" bestFit="1" customWidth="1"/>
    <col min="55" max="55" width="18.42578125" style="75" bestFit="1" customWidth="1"/>
    <col min="56" max="56" width="12.5703125" style="75" bestFit="1" customWidth="1"/>
    <col min="57" max="253" width="9.140625" style="75"/>
    <col min="254" max="254" width="8" style="75" customWidth="1"/>
    <col min="255" max="255" width="7.140625" style="75" customWidth="1"/>
    <col min="256" max="256" width="17" style="75" bestFit="1" customWidth="1"/>
    <col min="257" max="257" width="20.28515625" style="75" bestFit="1" customWidth="1"/>
    <col min="258" max="258" width="2.7109375" style="75" customWidth="1"/>
    <col min="259" max="259" width="5.5703125" style="75" customWidth="1"/>
    <col min="260" max="260" width="14.42578125" style="75" customWidth="1"/>
    <col min="261" max="261" width="18.42578125" style="75" customWidth="1"/>
    <col min="262" max="262" width="13" style="75" customWidth="1"/>
    <col min="263" max="263" width="16.7109375" style="75" customWidth="1"/>
    <col min="264" max="264" width="14.7109375" style="75" customWidth="1"/>
    <col min="265" max="265" width="18.42578125" style="75" customWidth="1"/>
    <col min="266" max="266" width="16.7109375" style="75" customWidth="1"/>
    <col min="267" max="267" width="4.140625" style="75" customWidth="1"/>
    <col min="268" max="268" width="7.28515625" style="75" customWidth="1"/>
    <col min="269" max="269" width="11.140625" style="75" bestFit="1" customWidth="1"/>
    <col min="270" max="270" width="16.5703125" style="75" customWidth="1"/>
    <col min="271" max="271" width="16.7109375" style="75" customWidth="1"/>
    <col min="272" max="272" width="15.28515625" style="75" customWidth="1"/>
    <col min="273" max="273" width="25.5703125" style="75" bestFit="1" customWidth="1"/>
    <col min="274" max="274" width="9.42578125" style="75" customWidth="1"/>
    <col min="275" max="275" width="6.7109375" style="75" customWidth="1"/>
    <col min="276" max="276" width="14.85546875" style="75" customWidth="1"/>
    <col min="277" max="277" width="15.7109375" style="75" customWidth="1"/>
    <col min="278" max="278" width="14.85546875" style="75" customWidth="1"/>
    <col min="279" max="279" width="12.5703125" style="75" bestFit="1" customWidth="1"/>
    <col min="280" max="280" width="12.85546875" style="75" customWidth="1"/>
    <col min="281" max="281" width="13.7109375" style="75" bestFit="1" customWidth="1"/>
    <col min="282" max="282" width="14.28515625" style="75" bestFit="1" customWidth="1"/>
    <col min="283" max="283" width="17.28515625" style="75" customWidth="1"/>
    <col min="284" max="284" width="13.140625" style="75" bestFit="1" customWidth="1"/>
    <col min="285" max="285" width="16.28515625" style="75" bestFit="1" customWidth="1"/>
    <col min="286" max="286" width="13.140625" style="75" bestFit="1" customWidth="1"/>
    <col min="287" max="289" width="14.7109375" style="75" bestFit="1" customWidth="1"/>
    <col min="290" max="290" width="16.28515625" style="75" bestFit="1" customWidth="1"/>
    <col min="291" max="291" width="17.7109375" style="75" bestFit="1" customWidth="1"/>
    <col min="292" max="293" width="14.7109375" style="75" bestFit="1" customWidth="1"/>
    <col min="294" max="294" width="14.7109375" style="75" customWidth="1"/>
    <col min="295" max="295" width="27" style="75" customWidth="1"/>
    <col min="296" max="297" width="16.28515625" style="75" bestFit="1" customWidth="1"/>
    <col min="298" max="298" width="46.28515625" style="75" bestFit="1" customWidth="1"/>
    <col min="299" max="299" width="23.85546875" style="75" customWidth="1"/>
    <col min="300" max="300" width="17.140625" style="75" bestFit="1" customWidth="1"/>
    <col min="301" max="301" width="18.5703125" style="75" bestFit="1" customWidth="1"/>
    <col min="302" max="303" width="20.5703125" style="75" customWidth="1"/>
    <col min="304" max="304" width="11.42578125" style="75" bestFit="1" customWidth="1"/>
    <col min="305" max="509" width="9.140625" style="75"/>
    <col min="510" max="510" width="8" style="75" customWidth="1"/>
    <col min="511" max="511" width="7.140625" style="75" customWidth="1"/>
    <col min="512" max="512" width="17" style="75" bestFit="1" customWidth="1"/>
    <col min="513" max="513" width="20.28515625" style="75" bestFit="1" customWidth="1"/>
    <col min="514" max="514" width="2.7109375" style="75" customWidth="1"/>
    <col min="515" max="515" width="5.5703125" style="75" customWidth="1"/>
    <col min="516" max="516" width="14.42578125" style="75" customWidth="1"/>
    <col min="517" max="517" width="18.42578125" style="75" customWidth="1"/>
    <col min="518" max="518" width="13" style="75" customWidth="1"/>
    <col min="519" max="519" width="16.7109375" style="75" customWidth="1"/>
    <col min="520" max="520" width="14.7109375" style="75" customWidth="1"/>
    <col min="521" max="521" width="18.42578125" style="75" customWidth="1"/>
    <col min="522" max="522" width="16.7109375" style="75" customWidth="1"/>
    <col min="523" max="523" width="4.140625" style="75" customWidth="1"/>
    <col min="524" max="524" width="7.28515625" style="75" customWidth="1"/>
    <col min="525" max="525" width="11.140625" style="75" bestFit="1" customWidth="1"/>
    <col min="526" max="526" width="16.5703125" style="75" customWidth="1"/>
    <col min="527" max="527" width="16.7109375" style="75" customWidth="1"/>
    <col min="528" max="528" width="15.28515625" style="75" customWidth="1"/>
    <col min="529" max="529" width="25.5703125" style="75" bestFit="1" customWidth="1"/>
    <col min="530" max="530" width="9.42578125" style="75" customWidth="1"/>
    <col min="531" max="531" width="6.7109375" style="75" customWidth="1"/>
    <col min="532" max="532" width="14.85546875" style="75" customWidth="1"/>
    <col min="533" max="533" width="15.7109375" style="75" customWidth="1"/>
    <col min="534" max="534" width="14.85546875" style="75" customWidth="1"/>
    <col min="535" max="535" width="12.5703125" style="75" bestFit="1" customWidth="1"/>
    <col min="536" max="536" width="12.85546875" style="75" customWidth="1"/>
    <col min="537" max="537" width="13.7109375" style="75" bestFit="1" customWidth="1"/>
    <col min="538" max="538" width="14.28515625" style="75" bestFit="1" customWidth="1"/>
    <col min="539" max="539" width="17.28515625" style="75" customWidth="1"/>
    <col min="540" max="540" width="13.140625" style="75" bestFit="1" customWidth="1"/>
    <col min="541" max="541" width="16.28515625" style="75" bestFit="1" customWidth="1"/>
    <col min="542" max="542" width="13.140625" style="75" bestFit="1" customWidth="1"/>
    <col min="543" max="545" width="14.7109375" style="75" bestFit="1" customWidth="1"/>
    <col min="546" max="546" width="16.28515625" style="75" bestFit="1" customWidth="1"/>
    <col min="547" max="547" width="17.7109375" style="75" bestFit="1" customWidth="1"/>
    <col min="548" max="549" width="14.7109375" style="75" bestFit="1" customWidth="1"/>
    <col min="550" max="550" width="14.7109375" style="75" customWidth="1"/>
    <col min="551" max="551" width="27" style="75" customWidth="1"/>
    <col min="552" max="553" width="16.28515625" style="75" bestFit="1" customWidth="1"/>
    <col min="554" max="554" width="46.28515625" style="75" bestFit="1" customWidth="1"/>
    <col min="555" max="555" width="23.85546875" style="75" customWidth="1"/>
    <col min="556" max="556" width="17.140625" style="75" bestFit="1" customWidth="1"/>
    <col min="557" max="557" width="18.5703125" style="75" bestFit="1" customWidth="1"/>
    <col min="558" max="559" width="20.5703125" style="75" customWidth="1"/>
    <col min="560" max="560" width="11.42578125" style="75" bestFit="1" customWidth="1"/>
    <col min="561" max="765" width="9.140625" style="75"/>
    <col min="766" max="766" width="8" style="75" customWidth="1"/>
    <col min="767" max="767" width="7.140625" style="75" customWidth="1"/>
    <col min="768" max="768" width="17" style="75" bestFit="1" customWidth="1"/>
    <col min="769" max="769" width="20.28515625" style="75" bestFit="1" customWidth="1"/>
    <col min="770" max="770" width="2.7109375" style="75" customWidth="1"/>
    <col min="771" max="771" width="5.5703125" style="75" customWidth="1"/>
    <col min="772" max="772" width="14.42578125" style="75" customWidth="1"/>
    <col min="773" max="773" width="18.42578125" style="75" customWidth="1"/>
    <col min="774" max="774" width="13" style="75" customWidth="1"/>
    <col min="775" max="775" width="16.7109375" style="75" customWidth="1"/>
    <col min="776" max="776" width="14.7109375" style="75" customWidth="1"/>
    <col min="777" max="777" width="18.42578125" style="75" customWidth="1"/>
    <col min="778" max="778" width="16.7109375" style="75" customWidth="1"/>
    <col min="779" max="779" width="4.140625" style="75" customWidth="1"/>
    <col min="780" max="780" width="7.28515625" style="75" customWidth="1"/>
    <col min="781" max="781" width="11.140625" style="75" bestFit="1" customWidth="1"/>
    <col min="782" max="782" width="16.5703125" style="75" customWidth="1"/>
    <col min="783" max="783" width="16.7109375" style="75" customWidth="1"/>
    <col min="784" max="784" width="15.28515625" style="75" customWidth="1"/>
    <col min="785" max="785" width="25.5703125" style="75" bestFit="1" customWidth="1"/>
    <col min="786" max="786" width="9.42578125" style="75" customWidth="1"/>
    <col min="787" max="787" width="6.7109375" style="75" customWidth="1"/>
    <col min="788" max="788" width="14.85546875" style="75" customWidth="1"/>
    <col min="789" max="789" width="15.7109375" style="75" customWidth="1"/>
    <col min="790" max="790" width="14.85546875" style="75" customWidth="1"/>
    <col min="791" max="791" width="12.5703125" style="75" bestFit="1" customWidth="1"/>
    <col min="792" max="792" width="12.85546875" style="75" customWidth="1"/>
    <col min="793" max="793" width="13.7109375" style="75" bestFit="1" customWidth="1"/>
    <col min="794" max="794" width="14.28515625" style="75" bestFit="1" customWidth="1"/>
    <col min="795" max="795" width="17.28515625" style="75" customWidth="1"/>
    <col min="796" max="796" width="13.140625" style="75" bestFit="1" customWidth="1"/>
    <col min="797" max="797" width="16.28515625" style="75" bestFit="1" customWidth="1"/>
    <col min="798" max="798" width="13.140625" style="75" bestFit="1" customWidth="1"/>
    <col min="799" max="801" width="14.7109375" style="75" bestFit="1" customWidth="1"/>
    <col min="802" max="802" width="16.28515625" style="75" bestFit="1" customWidth="1"/>
    <col min="803" max="803" width="17.7109375" style="75" bestFit="1" customWidth="1"/>
    <col min="804" max="805" width="14.7109375" style="75" bestFit="1" customWidth="1"/>
    <col min="806" max="806" width="14.7109375" style="75" customWidth="1"/>
    <col min="807" max="807" width="27" style="75" customWidth="1"/>
    <col min="808" max="809" width="16.28515625" style="75" bestFit="1" customWidth="1"/>
    <col min="810" max="810" width="46.28515625" style="75" bestFit="1" customWidth="1"/>
    <col min="811" max="811" width="23.85546875" style="75" customWidth="1"/>
    <col min="812" max="812" width="17.140625" style="75" bestFit="1" customWidth="1"/>
    <col min="813" max="813" width="18.5703125" style="75" bestFit="1" customWidth="1"/>
    <col min="814" max="815" width="20.5703125" style="75" customWidth="1"/>
    <col min="816" max="816" width="11.42578125" style="75" bestFit="1" customWidth="1"/>
    <col min="817" max="1021" width="9.140625" style="75"/>
    <col min="1022" max="1022" width="8" style="75" customWidth="1"/>
    <col min="1023" max="1023" width="7.140625" style="75" customWidth="1"/>
    <col min="1024" max="1024" width="17" style="75" bestFit="1" customWidth="1"/>
    <col min="1025" max="1025" width="20.28515625" style="75" bestFit="1" customWidth="1"/>
    <col min="1026" max="1026" width="2.7109375" style="75" customWidth="1"/>
    <col min="1027" max="1027" width="5.5703125" style="75" customWidth="1"/>
    <col min="1028" max="1028" width="14.42578125" style="75" customWidth="1"/>
    <col min="1029" max="1029" width="18.42578125" style="75" customWidth="1"/>
    <col min="1030" max="1030" width="13" style="75" customWidth="1"/>
    <col min="1031" max="1031" width="16.7109375" style="75" customWidth="1"/>
    <col min="1032" max="1032" width="14.7109375" style="75" customWidth="1"/>
    <col min="1033" max="1033" width="18.42578125" style="75" customWidth="1"/>
    <col min="1034" max="1034" width="16.7109375" style="75" customWidth="1"/>
    <col min="1035" max="1035" width="4.140625" style="75" customWidth="1"/>
    <col min="1036" max="1036" width="7.28515625" style="75" customWidth="1"/>
    <col min="1037" max="1037" width="11.140625" style="75" bestFit="1" customWidth="1"/>
    <col min="1038" max="1038" width="16.5703125" style="75" customWidth="1"/>
    <col min="1039" max="1039" width="16.7109375" style="75" customWidth="1"/>
    <col min="1040" max="1040" width="15.28515625" style="75" customWidth="1"/>
    <col min="1041" max="1041" width="25.5703125" style="75" bestFit="1" customWidth="1"/>
    <col min="1042" max="1042" width="9.42578125" style="75" customWidth="1"/>
    <col min="1043" max="1043" width="6.7109375" style="75" customWidth="1"/>
    <col min="1044" max="1044" width="14.85546875" style="75" customWidth="1"/>
    <col min="1045" max="1045" width="15.7109375" style="75" customWidth="1"/>
    <col min="1046" max="1046" width="14.85546875" style="75" customWidth="1"/>
    <col min="1047" max="1047" width="12.5703125" style="75" bestFit="1" customWidth="1"/>
    <col min="1048" max="1048" width="12.85546875" style="75" customWidth="1"/>
    <col min="1049" max="1049" width="13.7109375" style="75" bestFit="1" customWidth="1"/>
    <col min="1050" max="1050" width="14.28515625" style="75" bestFit="1" customWidth="1"/>
    <col min="1051" max="1051" width="17.28515625" style="75" customWidth="1"/>
    <col min="1052" max="1052" width="13.140625" style="75" bestFit="1" customWidth="1"/>
    <col min="1053" max="1053" width="16.28515625" style="75" bestFit="1" customWidth="1"/>
    <col min="1054" max="1054" width="13.140625" style="75" bestFit="1" customWidth="1"/>
    <col min="1055" max="1057" width="14.7109375" style="75" bestFit="1" customWidth="1"/>
    <col min="1058" max="1058" width="16.28515625" style="75" bestFit="1" customWidth="1"/>
    <col min="1059" max="1059" width="17.7109375" style="75" bestFit="1" customWidth="1"/>
    <col min="1060" max="1061" width="14.7109375" style="75" bestFit="1" customWidth="1"/>
    <col min="1062" max="1062" width="14.7109375" style="75" customWidth="1"/>
    <col min="1063" max="1063" width="27" style="75" customWidth="1"/>
    <col min="1064" max="1065" width="16.28515625" style="75" bestFit="1" customWidth="1"/>
    <col min="1066" max="1066" width="46.28515625" style="75" bestFit="1" customWidth="1"/>
    <col min="1067" max="1067" width="23.85546875" style="75" customWidth="1"/>
    <col min="1068" max="1068" width="17.140625" style="75" bestFit="1" customWidth="1"/>
    <col min="1069" max="1069" width="18.5703125" style="75" bestFit="1" customWidth="1"/>
    <col min="1070" max="1071" width="20.5703125" style="75" customWidth="1"/>
    <col min="1072" max="1072" width="11.42578125" style="75" bestFit="1" customWidth="1"/>
    <col min="1073" max="1277" width="9.140625" style="75"/>
    <col min="1278" max="1278" width="8" style="75" customWidth="1"/>
    <col min="1279" max="1279" width="7.140625" style="75" customWidth="1"/>
    <col min="1280" max="1280" width="17" style="75" bestFit="1" customWidth="1"/>
    <col min="1281" max="1281" width="20.28515625" style="75" bestFit="1" customWidth="1"/>
    <col min="1282" max="1282" width="2.7109375" style="75" customWidth="1"/>
    <col min="1283" max="1283" width="5.5703125" style="75" customWidth="1"/>
    <col min="1284" max="1284" width="14.42578125" style="75" customWidth="1"/>
    <col min="1285" max="1285" width="18.42578125" style="75" customWidth="1"/>
    <col min="1286" max="1286" width="13" style="75" customWidth="1"/>
    <col min="1287" max="1287" width="16.7109375" style="75" customWidth="1"/>
    <col min="1288" max="1288" width="14.7109375" style="75" customWidth="1"/>
    <col min="1289" max="1289" width="18.42578125" style="75" customWidth="1"/>
    <col min="1290" max="1290" width="16.7109375" style="75" customWidth="1"/>
    <col min="1291" max="1291" width="4.140625" style="75" customWidth="1"/>
    <col min="1292" max="1292" width="7.28515625" style="75" customWidth="1"/>
    <col min="1293" max="1293" width="11.140625" style="75" bestFit="1" customWidth="1"/>
    <col min="1294" max="1294" width="16.5703125" style="75" customWidth="1"/>
    <col min="1295" max="1295" width="16.7109375" style="75" customWidth="1"/>
    <col min="1296" max="1296" width="15.28515625" style="75" customWidth="1"/>
    <col min="1297" max="1297" width="25.5703125" style="75" bestFit="1" customWidth="1"/>
    <col min="1298" max="1298" width="9.42578125" style="75" customWidth="1"/>
    <col min="1299" max="1299" width="6.7109375" style="75" customWidth="1"/>
    <col min="1300" max="1300" width="14.85546875" style="75" customWidth="1"/>
    <col min="1301" max="1301" width="15.7109375" style="75" customWidth="1"/>
    <col min="1302" max="1302" width="14.85546875" style="75" customWidth="1"/>
    <col min="1303" max="1303" width="12.5703125" style="75" bestFit="1" customWidth="1"/>
    <col min="1304" max="1304" width="12.85546875" style="75" customWidth="1"/>
    <col min="1305" max="1305" width="13.7109375" style="75" bestFit="1" customWidth="1"/>
    <col min="1306" max="1306" width="14.28515625" style="75" bestFit="1" customWidth="1"/>
    <col min="1307" max="1307" width="17.28515625" style="75" customWidth="1"/>
    <col min="1308" max="1308" width="13.140625" style="75" bestFit="1" customWidth="1"/>
    <col min="1309" max="1309" width="16.28515625" style="75" bestFit="1" customWidth="1"/>
    <col min="1310" max="1310" width="13.140625" style="75" bestFit="1" customWidth="1"/>
    <col min="1311" max="1313" width="14.7109375" style="75" bestFit="1" customWidth="1"/>
    <col min="1314" max="1314" width="16.28515625" style="75" bestFit="1" customWidth="1"/>
    <col min="1315" max="1315" width="17.7109375" style="75" bestFit="1" customWidth="1"/>
    <col min="1316" max="1317" width="14.7109375" style="75" bestFit="1" customWidth="1"/>
    <col min="1318" max="1318" width="14.7109375" style="75" customWidth="1"/>
    <col min="1319" max="1319" width="27" style="75" customWidth="1"/>
    <col min="1320" max="1321" width="16.28515625" style="75" bestFit="1" customWidth="1"/>
    <col min="1322" max="1322" width="46.28515625" style="75" bestFit="1" customWidth="1"/>
    <col min="1323" max="1323" width="23.85546875" style="75" customWidth="1"/>
    <col min="1324" max="1324" width="17.140625" style="75" bestFit="1" customWidth="1"/>
    <col min="1325" max="1325" width="18.5703125" style="75" bestFit="1" customWidth="1"/>
    <col min="1326" max="1327" width="20.5703125" style="75" customWidth="1"/>
    <col min="1328" max="1328" width="11.42578125" style="75" bestFit="1" customWidth="1"/>
    <col min="1329" max="1533" width="9.140625" style="75"/>
    <col min="1534" max="1534" width="8" style="75" customWidth="1"/>
    <col min="1535" max="1535" width="7.140625" style="75" customWidth="1"/>
    <col min="1536" max="1536" width="17" style="75" bestFit="1" customWidth="1"/>
    <col min="1537" max="1537" width="20.28515625" style="75" bestFit="1" customWidth="1"/>
    <col min="1538" max="1538" width="2.7109375" style="75" customWidth="1"/>
    <col min="1539" max="1539" width="5.5703125" style="75" customWidth="1"/>
    <col min="1540" max="1540" width="14.42578125" style="75" customWidth="1"/>
    <col min="1541" max="1541" width="18.42578125" style="75" customWidth="1"/>
    <col min="1542" max="1542" width="13" style="75" customWidth="1"/>
    <col min="1543" max="1543" width="16.7109375" style="75" customWidth="1"/>
    <col min="1544" max="1544" width="14.7109375" style="75" customWidth="1"/>
    <col min="1545" max="1545" width="18.42578125" style="75" customWidth="1"/>
    <col min="1546" max="1546" width="16.7109375" style="75" customWidth="1"/>
    <col min="1547" max="1547" width="4.140625" style="75" customWidth="1"/>
    <col min="1548" max="1548" width="7.28515625" style="75" customWidth="1"/>
    <col min="1549" max="1549" width="11.140625" style="75" bestFit="1" customWidth="1"/>
    <col min="1550" max="1550" width="16.5703125" style="75" customWidth="1"/>
    <col min="1551" max="1551" width="16.7109375" style="75" customWidth="1"/>
    <col min="1552" max="1552" width="15.28515625" style="75" customWidth="1"/>
    <col min="1553" max="1553" width="25.5703125" style="75" bestFit="1" customWidth="1"/>
    <col min="1554" max="1554" width="9.42578125" style="75" customWidth="1"/>
    <col min="1555" max="1555" width="6.7109375" style="75" customWidth="1"/>
    <col min="1556" max="1556" width="14.85546875" style="75" customWidth="1"/>
    <col min="1557" max="1557" width="15.7109375" style="75" customWidth="1"/>
    <col min="1558" max="1558" width="14.85546875" style="75" customWidth="1"/>
    <col min="1559" max="1559" width="12.5703125" style="75" bestFit="1" customWidth="1"/>
    <col min="1560" max="1560" width="12.85546875" style="75" customWidth="1"/>
    <col min="1561" max="1561" width="13.7109375" style="75" bestFit="1" customWidth="1"/>
    <col min="1562" max="1562" width="14.28515625" style="75" bestFit="1" customWidth="1"/>
    <col min="1563" max="1563" width="17.28515625" style="75" customWidth="1"/>
    <col min="1564" max="1564" width="13.140625" style="75" bestFit="1" customWidth="1"/>
    <col min="1565" max="1565" width="16.28515625" style="75" bestFit="1" customWidth="1"/>
    <col min="1566" max="1566" width="13.140625" style="75" bestFit="1" customWidth="1"/>
    <col min="1567" max="1569" width="14.7109375" style="75" bestFit="1" customWidth="1"/>
    <col min="1570" max="1570" width="16.28515625" style="75" bestFit="1" customWidth="1"/>
    <col min="1571" max="1571" width="17.7109375" style="75" bestFit="1" customWidth="1"/>
    <col min="1572" max="1573" width="14.7109375" style="75" bestFit="1" customWidth="1"/>
    <col min="1574" max="1574" width="14.7109375" style="75" customWidth="1"/>
    <col min="1575" max="1575" width="27" style="75" customWidth="1"/>
    <col min="1576" max="1577" width="16.28515625" style="75" bestFit="1" customWidth="1"/>
    <col min="1578" max="1578" width="46.28515625" style="75" bestFit="1" customWidth="1"/>
    <col min="1579" max="1579" width="23.85546875" style="75" customWidth="1"/>
    <col min="1580" max="1580" width="17.140625" style="75" bestFit="1" customWidth="1"/>
    <col min="1581" max="1581" width="18.5703125" style="75" bestFit="1" customWidth="1"/>
    <col min="1582" max="1583" width="20.5703125" style="75" customWidth="1"/>
    <col min="1584" max="1584" width="11.42578125" style="75" bestFit="1" customWidth="1"/>
    <col min="1585" max="1789" width="9.140625" style="75"/>
    <col min="1790" max="1790" width="8" style="75" customWidth="1"/>
    <col min="1791" max="1791" width="7.140625" style="75" customWidth="1"/>
    <col min="1792" max="1792" width="17" style="75" bestFit="1" customWidth="1"/>
    <col min="1793" max="1793" width="20.28515625" style="75" bestFit="1" customWidth="1"/>
    <col min="1794" max="1794" width="2.7109375" style="75" customWidth="1"/>
    <col min="1795" max="1795" width="5.5703125" style="75" customWidth="1"/>
    <col min="1796" max="1796" width="14.42578125" style="75" customWidth="1"/>
    <col min="1797" max="1797" width="18.42578125" style="75" customWidth="1"/>
    <col min="1798" max="1798" width="13" style="75" customWidth="1"/>
    <col min="1799" max="1799" width="16.7109375" style="75" customWidth="1"/>
    <col min="1800" max="1800" width="14.7109375" style="75" customWidth="1"/>
    <col min="1801" max="1801" width="18.42578125" style="75" customWidth="1"/>
    <col min="1802" max="1802" width="16.7109375" style="75" customWidth="1"/>
    <col min="1803" max="1803" width="4.140625" style="75" customWidth="1"/>
    <col min="1804" max="1804" width="7.28515625" style="75" customWidth="1"/>
    <col min="1805" max="1805" width="11.140625" style="75" bestFit="1" customWidth="1"/>
    <col min="1806" max="1806" width="16.5703125" style="75" customWidth="1"/>
    <col min="1807" max="1807" width="16.7109375" style="75" customWidth="1"/>
    <col min="1808" max="1808" width="15.28515625" style="75" customWidth="1"/>
    <col min="1809" max="1809" width="25.5703125" style="75" bestFit="1" customWidth="1"/>
    <col min="1810" max="1810" width="9.42578125" style="75" customWidth="1"/>
    <col min="1811" max="1811" width="6.7109375" style="75" customWidth="1"/>
    <col min="1812" max="1812" width="14.85546875" style="75" customWidth="1"/>
    <col min="1813" max="1813" width="15.7109375" style="75" customWidth="1"/>
    <col min="1814" max="1814" width="14.85546875" style="75" customWidth="1"/>
    <col min="1815" max="1815" width="12.5703125" style="75" bestFit="1" customWidth="1"/>
    <col min="1816" max="1816" width="12.85546875" style="75" customWidth="1"/>
    <col min="1817" max="1817" width="13.7109375" style="75" bestFit="1" customWidth="1"/>
    <col min="1818" max="1818" width="14.28515625" style="75" bestFit="1" customWidth="1"/>
    <col min="1819" max="1819" width="17.28515625" style="75" customWidth="1"/>
    <col min="1820" max="1820" width="13.140625" style="75" bestFit="1" customWidth="1"/>
    <col min="1821" max="1821" width="16.28515625" style="75" bestFit="1" customWidth="1"/>
    <col min="1822" max="1822" width="13.140625" style="75" bestFit="1" customWidth="1"/>
    <col min="1823" max="1825" width="14.7109375" style="75" bestFit="1" customWidth="1"/>
    <col min="1826" max="1826" width="16.28515625" style="75" bestFit="1" customWidth="1"/>
    <col min="1827" max="1827" width="17.7109375" style="75" bestFit="1" customWidth="1"/>
    <col min="1828" max="1829" width="14.7109375" style="75" bestFit="1" customWidth="1"/>
    <col min="1830" max="1830" width="14.7109375" style="75" customWidth="1"/>
    <col min="1831" max="1831" width="27" style="75" customWidth="1"/>
    <col min="1832" max="1833" width="16.28515625" style="75" bestFit="1" customWidth="1"/>
    <col min="1834" max="1834" width="46.28515625" style="75" bestFit="1" customWidth="1"/>
    <col min="1835" max="1835" width="23.85546875" style="75" customWidth="1"/>
    <col min="1836" max="1836" width="17.140625" style="75" bestFit="1" customWidth="1"/>
    <col min="1837" max="1837" width="18.5703125" style="75" bestFit="1" customWidth="1"/>
    <col min="1838" max="1839" width="20.5703125" style="75" customWidth="1"/>
    <col min="1840" max="1840" width="11.42578125" style="75" bestFit="1" customWidth="1"/>
    <col min="1841" max="2045" width="9.140625" style="75"/>
    <col min="2046" max="2046" width="8" style="75" customWidth="1"/>
    <col min="2047" max="2047" width="7.140625" style="75" customWidth="1"/>
    <col min="2048" max="2048" width="17" style="75" bestFit="1" customWidth="1"/>
    <col min="2049" max="2049" width="20.28515625" style="75" bestFit="1" customWidth="1"/>
    <col min="2050" max="2050" width="2.7109375" style="75" customWidth="1"/>
    <col min="2051" max="2051" width="5.5703125" style="75" customWidth="1"/>
    <col min="2052" max="2052" width="14.42578125" style="75" customWidth="1"/>
    <col min="2053" max="2053" width="18.42578125" style="75" customWidth="1"/>
    <col min="2054" max="2054" width="13" style="75" customWidth="1"/>
    <col min="2055" max="2055" width="16.7109375" style="75" customWidth="1"/>
    <col min="2056" max="2056" width="14.7109375" style="75" customWidth="1"/>
    <col min="2057" max="2057" width="18.42578125" style="75" customWidth="1"/>
    <col min="2058" max="2058" width="16.7109375" style="75" customWidth="1"/>
    <col min="2059" max="2059" width="4.140625" style="75" customWidth="1"/>
    <col min="2060" max="2060" width="7.28515625" style="75" customWidth="1"/>
    <col min="2061" max="2061" width="11.140625" style="75" bestFit="1" customWidth="1"/>
    <col min="2062" max="2062" width="16.5703125" style="75" customWidth="1"/>
    <col min="2063" max="2063" width="16.7109375" style="75" customWidth="1"/>
    <col min="2064" max="2064" width="15.28515625" style="75" customWidth="1"/>
    <col min="2065" max="2065" width="25.5703125" style="75" bestFit="1" customWidth="1"/>
    <col min="2066" max="2066" width="9.42578125" style="75" customWidth="1"/>
    <col min="2067" max="2067" width="6.7109375" style="75" customWidth="1"/>
    <col min="2068" max="2068" width="14.85546875" style="75" customWidth="1"/>
    <col min="2069" max="2069" width="15.7109375" style="75" customWidth="1"/>
    <col min="2070" max="2070" width="14.85546875" style="75" customWidth="1"/>
    <col min="2071" max="2071" width="12.5703125" style="75" bestFit="1" customWidth="1"/>
    <col min="2072" max="2072" width="12.85546875" style="75" customWidth="1"/>
    <col min="2073" max="2073" width="13.7109375" style="75" bestFit="1" customWidth="1"/>
    <col min="2074" max="2074" width="14.28515625" style="75" bestFit="1" customWidth="1"/>
    <col min="2075" max="2075" width="17.28515625" style="75" customWidth="1"/>
    <col min="2076" max="2076" width="13.140625" style="75" bestFit="1" customWidth="1"/>
    <col min="2077" max="2077" width="16.28515625" style="75" bestFit="1" customWidth="1"/>
    <col min="2078" max="2078" width="13.140625" style="75" bestFit="1" customWidth="1"/>
    <col min="2079" max="2081" width="14.7109375" style="75" bestFit="1" customWidth="1"/>
    <col min="2082" max="2082" width="16.28515625" style="75" bestFit="1" customWidth="1"/>
    <col min="2083" max="2083" width="17.7109375" style="75" bestFit="1" customWidth="1"/>
    <col min="2084" max="2085" width="14.7109375" style="75" bestFit="1" customWidth="1"/>
    <col min="2086" max="2086" width="14.7109375" style="75" customWidth="1"/>
    <col min="2087" max="2087" width="27" style="75" customWidth="1"/>
    <col min="2088" max="2089" width="16.28515625" style="75" bestFit="1" customWidth="1"/>
    <col min="2090" max="2090" width="46.28515625" style="75" bestFit="1" customWidth="1"/>
    <col min="2091" max="2091" width="23.85546875" style="75" customWidth="1"/>
    <col min="2092" max="2092" width="17.140625" style="75" bestFit="1" customWidth="1"/>
    <col min="2093" max="2093" width="18.5703125" style="75" bestFit="1" customWidth="1"/>
    <col min="2094" max="2095" width="20.5703125" style="75" customWidth="1"/>
    <col min="2096" max="2096" width="11.42578125" style="75" bestFit="1" customWidth="1"/>
    <col min="2097" max="2301" width="9.140625" style="75"/>
    <col min="2302" max="2302" width="8" style="75" customWidth="1"/>
    <col min="2303" max="2303" width="7.140625" style="75" customWidth="1"/>
    <col min="2304" max="2304" width="17" style="75" bestFit="1" customWidth="1"/>
    <col min="2305" max="2305" width="20.28515625" style="75" bestFit="1" customWidth="1"/>
    <col min="2306" max="2306" width="2.7109375" style="75" customWidth="1"/>
    <col min="2307" max="2307" width="5.5703125" style="75" customWidth="1"/>
    <col min="2308" max="2308" width="14.42578125" style="75" customWidth="1"/>
    <col min="2309" max="2309" width="18.42578125" style="75" customWidth="1"/>
    <col min="2310" max="2310" width="13" style="75" customWidth="1"/>
    <col min="2311" max="2311" width="16.7109375" style="75" customWidth="1"/>
    <col min="2312" max="2312" width="14.7109375" style="75" customWidth="1"/>
    <col min="2313" max="2313" width="18.42578125" style="75" customWidth="1"/>
    <col min="2314" max="2314" width="16.7109375" style="75" customWidth="1"/>
    <col min="2315" max="2315" width="4.140625" style="75" customWidth="1"/>
    <col min="2316" max="2316" width="7.28515625" style="75" customWidth="1"/>
    <col min="2317" max="2317" width="11.140625" style="75" bestFit="1" customWidth="1"/>
    <col min="2318" max="2318" width="16.5703125" style="75" customWidth="1"/>
    <col min="2319" max="2319" width="16.7109375" style="75" customWidth="1"/>
    <col min="2320" max="2320" width="15.28515625" style="75" customWidth="1"/>
    <col min="2321" max="2321" width="25.5703125" style="75" bestFit="1" customWidth="1"/>
    <col min="2322" max="2322" width="9.42578125" style="75" customWidth="1"/>
    <col min="2323" max="2323" width="6.7109375" style="75" customWidth="1"/>
    <col min="2324" max="2324" width="14.85546875" style="75" customWidth="1"/>
    <col min="2325" max="2325" width="15.7109375" style="75" customWidth="1"/>
    <col min="2326" max="2326" width="14.85546875" style="75" customWidth="1"/>
    <col min="2327" max="2327" width="12.5703125" style="75" bestFit="1" customWidth="1"/>
    <col min="2328" max="2328" width="12.85546875" style="75" customWidth="1"/>
    <col min="2329" max="2329" width="13.7109375" style="75" bestFit="1" customWidth="1"/>
    <col min="2330" max="2330" width="14.28515625" style="75" bestFit="1" customWidth="1"/>
    <col min="2331" max="2331" width="17.28515625" style="75" customWidth="1"/>
    <col min="2332" max="2332" width="13.140625" style="75" bestFit="1" customWidth="1"/>
    <col min="2333" max="2333" width="16.28515625" style="75" bestFit="1" customWidth="1"/>
    <col min="2334" max="2334" width="13.140625" style="75" bestFit="1" customWidth="1"/>
    <col min="2335" max="2337" width="14.7109375" style="75" bestFit="1" customWidth="1"/>
    <col min="2338" max="2338" width="16.28515625" style="75" bestFit="1" customWidth="1"/>
    <col min="2339" max="2339" width="17.7109375" style="75" bestFit="1" customWidth="1"/>
    <col min="2340" max="2341" width="14.7109375" style="75" bestFit="1" customWidth="1"/>
    <col min="2342" max="2342" width="14.7109375" style="75" customWidth="1"/>
    <col min="2343" max="2343" width="27" style="75" customWidth="1"/>
    <col min="2344" max="2345" width="16.28515625" style="75" bestFit="1" customWidth="1"/>
    <col min="2346" max="2346" width="46.28515625" style="75" bestFit="1" customWidth="1"/>
    <col min="2347" max="2347" width="23.85546875" style="75" customWidth="1"/>
    <col min="2348" max="2348" width="17.140625" style="75" bestFit="1" customWidth="1"/>
    <col min="2349" max="2349" width="18.5703125" style="75" bestFit="1" customWidth="1"/>
    <col min="2350" max="2351" width="20.5703125" style="75" customWidth="1"/>
    <col min="2352" max="2352" width="11.42578125" style="75" bestFit="1" customWidth="1"/>
    <col min="2353" max="2557" width="9.140625" style="75"/>
    <col min="2558" max="2558" width="8" style="75" customWidth="1"/>
    <col min="2559" max="2559" width="7.140625" style="75" customWidth="1"/>
    <col min="2560" max="2560" width="17" style="75" bestFit="1" customWidth="1"/>
    <col min="2561" max="2561" width="20.28515625" style="75" bestFit="1" customWidth="1"/>
    <col min="2562" max="2562" width="2.7109375" style="75" customWidth="1"/>
    <col min="2563" max="2563" width="5.5703125" style="75" customWidth="1"/>
    <col min="2564" max="2564" width="14.42578125" style="75" customWidth="1"/>
    <col min="2565" max="2565" width="18.42578125" style="75" customWidth="1"/>
    <col min="2566" max="2566" width="13" style="75" customWidth="1"/>
    <col min="2567" max="2567" width="16.7109375" style="75" customWidth="1"/>
    <col min="2568" max="2568" width="14.7109375" style="75" customWidth="1"/>
    <col min="2569" max="2569" width="18.42578125" style="75" customWidth="1"/>
    <col min="2570" max="2570" width="16.7109375" style="75" customWidth="1"/>
    <col min="2571" max="2571" width="4.140625" style="75" customWidth="1"/>
    <col min="2572" max="2572" width="7.28515625" style="75" customWidth="1"/>
    <col min="2573" max="2573" width="11.140625" style="75" bestFit="1" customWidth="1"/>
    <col min="2574" max="2574" width="16.5703125" style="75" customWidth="1"/>
    <col min="2575" max="2575" width="16.7109375" style="75" customWidth="1"/>
    <col min="2576" max="2576" width="15.28515625" style="75" customWidth="1"/>
    <col min="2577" max="2577" width="25.5703125" style="75" bestFit="1" customWidth="1"/>
    <col min="2578" max="2578" width="9.42578125" style="75" customWidth="1"/>
    <col min="2579" max="2579" width="6.7109375" style="75" customWidth="1"/>
    <col min="2580" max="2580" width="14.85546875" style="75" customWidth="1"/>
    <col min="2581" max="2581" width="15.7109375" style="75" customWidth="1"/>
    <col min="2582" max="2582" width="14.85546875" style="75" customWidth="1"/>
    <col min="2583" max="2583" width="12.5703125" style="75" bestFit="1" customWidth="1"/>
    <col min="2584" max="2584" width="12.85546875" style="75" customWidth="1"/>
    <col min="2585" max="2585" width="13.7109375" style="75" bestFit="1" customWidth="1"/>
    <col min="2586" max="2586" width="14.28515625" style="75" bestFit="1" customWidth="1"/>
    <col min="2587" max="2587" width="17.28515625" style="75" customWidth="1"/>
    <col min="2588" max="2588" width="13.140625" style="75" bestFit="1" customWidth="1"/>
    <col min="2589" max="2589" width="16.28515625" style="75" bestFit="1" customWidth="1"/>
    <col min="2590" max="2590" width="13.140625" style="75" bestFit="1" customWidth="1"/>
    <col min="2591" max="2593" width="14.7109375" style="75" bestFit="1" customWidth="1"/>
    <col min="2594" max="2594" width="16.28515625" style="75" bestFit="1" customWidth="1"/>
    <col min="2595" max="2595" width="17.7109375" style="75" bestFit="1" customWidth="1"/>
    <col min="2596" max="2597" width="14.7109375" style="75" bestFit="1" customWidth="1"/>
    <col min="2598" max="2598" width="14.7109375" style="75" customWidth="1"/>
    <col min="2599" max="2599" width="27" style="75" customWidth="1"/>
    <col min="2600" max="2601" width="16.28515625" style="75" bestFit="1" customWidth="1"/>
    <col min="2602" max="2602" width="46.28515625" style="75" bestFit="1" customWidth="1"/>
    <col min="2603" max="2603" width="23.85546875" style="75" customWidth="1"/>
    <col min="2604" max="2604" width="17.140625" style="75" bestFit="1" customWidth="1"/>
    <col min="2605" max="2605" width="18.5703125" style="75" bestFit="1" customWidth="1"/>
    <col min="2606" max="2607" width="20.5703125" style="75" customWidth="1"/>
    <col min="2608" max="2608" width="11.42578125" style="75" bestFit="1" customWidth="1"/>
    <col min="2609" max="2813" width="9.140625" style="75"/>
    <col min="2814" max="2814" width="8" style="75" customWidth="1"/>
    <col min="2815" max="2815" width="7.140625" style="75" customWidth="1"/>
    <col min="2816" max="2816" width="17" style="75" bestFit="1" customWidth="1"/>
    <col min="2817" max="2817" width="20.28515625" style="75" bestFit="1" customWidth="1"/>
    <col min="2818" max="2818" width="2.7109375" style="75" customWidth="1"/>
    <col min="2819" max="2819" width="5.5703125" style="75" customWidth="1"/>
    <col min="2820" max="2820" width="14.42578125" style="75" customWidth="1"/>
    <col min="2821" max="2821" width="18.42578125" style="75" customWidth="1"/>
    <col min="2822" max="2822" width="13" style="75" customWidth="1"/>
    <col min="2823" max="2823" width="16.7109375" style="75" customWidth="1"/>
    <col min="2824" max="2824" width="14.7109375" style="75" customWidth="1"/>
    <col min="2825" max="2825" width="18.42578125" style="75" customWidth="1"/>
    <col min="2826" max="2826" width="16.7109375" style="75" customWidth="1"/>
    <col min="2827" max="2827" width="4.140625" style="75" customWidth="1"/>
    <col min="2828" max="2828" width="7.28515625" style="75" customWidth="1"/>
    <col min="2829" max="2829" width="11.140625" style="75" bestFit="1" customWidth="1"/>
    <col min="2830" max="2830" width="16.5703125" style="75" customWidth="1"/>
    <col min="2831" max="2831" width="16.7109375" style="75" customWidth="1"/>
    <col min="2832" max="2832" width="15.28515625" style="75" customWidth="1"/>
    <col min="2833" max="2833" width="25.5703125" style="75" bestFit="1" customWidth="1"/>
    <col min="2834" max="2834" width="9.42578125" style="75" customWidth="1"/>
    <col min="2835" max="2835" width="6.7109375" style="75" customWidth="1"/>
    <col min="2836" max="2836" width="14.85546875" style="75" customWidth="1"/>
    <col min="2837" max="2837" width="15.7109375" style="75" customWidth="1"/>
    <col min="2838" max="2838" width="14.85546875" style="75" customWidth="1"/>
    <col min="2839" max="2839" width="12.5703125" style="75" bestFit="1" customWidth="1"/>
    <col min="2840" max="2840" width="12.85546875" style="75" customWidth="1"/>
    <col min="2841" max="2841" width="13.7109375" style="75" bestFit="1" customWidth="1"/>
    <col min="2842" max="2842" width="14.28515625" style="75" bestFit="1" customWidth="1"/>
    <col min="2843" max="2843" width="17.28515625" style="75" customWidth="1"/>
    <col min="2844" max="2844" width="13.140625" style="75" bestFit="1" customWidth="1"/>
    <col min="2845" max="2845" width="16.28515625" style="75" bestFit="1" customWidth="1"/>
    <col min="2846" max="2846" width="13.140625" style="75" bestFit="1" customWidth="1"/>
    <col min="2847" max="2849" width="14.7109375" style="75" bestFit="1" customWidth="1"/>
    <col min="2850" max="2850" width="16.28515625" style="75" bestFit="1" customWidth="1"/>
    <col min="2851" max="2851" width="17.7109375" style="75" bestFit="1" customWidth="1"/>
    <col min="2852" max="2853" width="14.7109375" style="75" bestFit="1" customWidth="1"/>
    <col min="2854" max="2854" width="14.7109375" style="75" customWidth="1"/>
    <col min="2855" max="2855" width="27" style="75" customWidth="1"/>
    <col min="2856" max="2857" width="16.28515625" style="75" bestFit="1" customWidth="1"/>
    <col min="2858" max="2858" width="46.28515625" style="75" bestFit="1" customWidth="1"/>
    <col min="2859" max="2859" width="23.85546875" style="75" customWidth="1"/>
    <col min="2860" max="2860" width="17.140625" style="75" bestFit="1" customWidth="1"/>
    <col min="2861" max="2861" width="18.5703125" style="75" bestFit="1" customWidth="1"/>
    <col min="2862" max="2863" width="20.5703125" style="75" customWidth="1"/>
    <col min="2864" max="2864" width="11.42578125" style="75" bestFit="1" customWidth="1"/>
    <col min="2865" max="3069" width="9.140625" style="75"/>
    <col min="3070" max="3070" width="8" style="75" customWidth="1"/>
    <col min="3071" max="3071" width="7.140625" style="75" customWidth="1"/>
    <col min="3072" max="3072" width="17" style="75" bestFit="1" customWidth="1"/>
    <col min="3073" max="3073" width="20.28515625" style="75" bestFit="1" customWidth="1"/>
    <col min="3074" max="3074" width="2.7109375" style="75" customWidth="1"/>
    <col min="3075" max="3075" width="5.5703125" style="75" customWidth="1"/>
    <col min="3076" max="3076" width="14.42578125" style="75" customWidth="1"/>
    <col min="3077" max="3077" width="18.42578125" style="75" customWidth="1"/>
    <col min="3078" max="3078" width="13" style="75" customWidth="1"/>
    <col min="3079" max="3079" width="16.7109375" style="75" customWidth="1"/>
    <col min="3080" max="3080" width="14.7109375" style="75" customWidth="1"/>
    <col min="3081" max="3081" width="18.42578125" style="75" customWidth="1"/>
    <col min="3082" max="3082" width="16.7109375" style="75" customWidth="1"/>
    <col min="3083" max="3083" width="4.140625" style="75" customWidth="1"/>
    <col min="3084" max="3084" width="7.28515625" style="75" customWidth="1"/>
    <col min="3085" max="3085" width="11.140625" style="75" bestFit="1" customWidth="1"/>
    <col min="3086" max="3086" width="16.5703125" style="75" customWidth="1"/>
    <col min="3087" max="3087" width="16.7109375" style="75" customWidth="1"/>
    <col min="3088" max="3088" width="15.28515625" style="75" customWidth="1"/>
    <col min="3089" max="3089" width="25.5703125" style="75" bestFit="1" customWidth="1"/>
    <col min="3090" max="3090" width="9.42578125" style="75" customWidth="1"/>
    <col min="3091" max="3091" width="6.7109375" style="75" customWidth="1"/>
    <col min="3092" max="3092" width="14.85546875" style="75" customWidth="1"/>
    <col min="3093" max="3093" width="15.7109375" style="75" customWidth="1"/>
    <col min="3094" max="3094" width="14.85546875" style="75" customWidth="1"/>
    <col min="3095" max="3095" width="12.5703125" style="75" bestFit="1" customWidth="1"/>
    <col min="3096" max="3096" width="12.85546875" style="75" customWidth="1"/>
    <col min="3097" max="3097" width="13.7109375" style="75" bestFit="1" customWidth="1"/>
    <col min="3098" max="3098" width="14.28515625" style="75" bestFit="1" customWidth="1"/>
    <col min="3099" max="3099" width="17.28515625" style="75" customWidth="1"/>
    <col min="3100" max="3100" width="13.140625" style="75" bestFit="1" customWidth="1"/>
    <col min="3101" max="3101" width="16.28515625" style="75" bestFit="1" customWidth="1"/>
    <col min="3102" max="3102" width="13.140625" style="75" bestFit="1" customWidth="1"/>
    <col min="3103" max="3105" width="14.7109375" style="75" bestFit="1" customWidth="1"/>
    <col min="3106" max="3106" width="16.28515625" style="75" bestFit="1" customWidth="1"/>
    <col min="3107" max="3107" width="17.7109375" style="75" bestFit="1" customWidth="1"/>
    <col min="3108" max="3109" width="14.7109375" style="75" bestFit="1" customWidth="1"/>
    <col min="3110" max="3110" width="14.7109375" style="75" customWidth="1"/>
    <col min="3111" max="3111" width="27" style="75" customWidth="1"/>
    <col min="3112" max="3113" width="16.28515625" style="75" bestFit="1" customWidth="1"/>
    <col min="3114" max="3114" width="46.28515625" style="75" bestFit="1" customWidth="1"/>
    <col min="3115" max="3115" width="23.85546875" style="75" customWidth="1"/>
    <col min="3116" max="3116" width="17.140625" style="75" bestFit="1" customWidth="1"/>
    <col min="3117" max="3117" width="18.5703125" style="75" bestFit="1" customWidth="1"/>
    <col min="3118" max="3119" width="20.5703125" style="75" customWidth="1"/>
    <col min="3120" max="3120" width="11.42578125" style="75" bestFit="1" customWidth="1"/>
    <col min="3121" max="3325" width="9.140625" style="75"/>
    <col min="3326" max="3326" width="8" style="75" customWidth="1"/>
    <col min="3327" max="3327" width="7.140625" style="75" customWidth="1"/>
    <col min="3328" max="3328" width="17" style="75" bestFit="1" customWidth="1"/>
    <col min="3329" max="3329" width="20.28515625" style="75" bestFit="1" customWidth="1"/>
    <col min="3330" max="3330" width="2.7109375" style="75" customWidth="1"/>
    <col min="3331" max="3331" width="5.5703125" style="75" customWidth="1"/>
    <col min="3332" max="3332" width="14.42578125" style="75" customWidth="1"/>
    <col min="3333" max="3333" width="18.42578125" style="75" customWidth="1"/>
    <col min="3334" max="3334" width="13" style="75" customWidth="1"/>
    <col min="3335" max="3335" width="16.7109375" style="75" customWidth="1"/>
    <col min="3336" max="3336" width="14.7109375" style="75" customWidth="1"/>
    <col min="3337" max="3337" width="18.42578125" style="75" customWidth="1"/>
    <col min="3338" max="3338" width="16.7109375" style="75" customWidth="1"/>
    <col min="3339" max="3339" width="4.140625" style="75" customWidth="1"/>
    <col min="3340" max="3340" width="7.28515625" style="75" customWidth="1"/>
    <col min="3341" max="3341" width="11.140625" style="75" bestFit="1" customWidth="1"/>
    <col min="3342" max="3342" width="16.5703125" style="75" customWidth="1"/>
    <col min="3343" max="3343" width="16.7109375" style="75" customWidth="1"/>
    <col min="3344" max="3344" width="15.28515625" style="75" customWidth="1"/>
    <col min="3345" max="3345" width="25.5703125" style="75" bestFit="1" customWidth="1"/>
    <col min="3346" max="3346" width="9.42578125" style="75" customWidth="1"/>
    <col min="3347" max="3347" width="6.7109375" style="75" customWidth="1"/>
    <col min="3348" max="3348" width="14.85546875" style="75" customWidth="1"/>
    <col min="3349" max="3349" width="15.7109375" style="75" customWidth="1"/>
    <col min="3350" max="3350" width="14.85546875" style="75" customWidth="1"/>
    <col min="3351" max="3351" width="12.5703125" style="75" bestFit="1" customWidth="1"/>
    <col min="3352" max="3352" width="12.85546875" style="75" customWidth="1"/>
    <col min="3353" max="3353" width="13.7109375" style="75" bestFit="1" customWidth="1"/>
    <col min="3354" max="3354" width="14.28515625" style="75" bestFit="1" customWidth="1"/>
    <col min="3355" max="3355" width="17.28515625" style="75" customWidth="1"/>
    <col min="3356" max="3356" width="13.140625" style="75" bestFit="1" customWidth="1"/>
    <col min="3357" max="3357" width="16.28515625" style="75" bestFit="1" customWidth="1"/>
    <col min="3358" max="3358" width="13.140625" style="75" bestFit="1" customWidth="1"/>
    <col min="3359" max="3361" width="14.7109375" style="75" bestFit="1" customWidth="1"/>
    <col min="3362" max="3362" width="16.28515625" style="75" bestFit="1" customWidth="1"/>
    <col min="3363" max="3363" width="17.7109375" style="75" bestFit="1" customWidth="1"/>
    <col min="3364" max="3365" width="14.7109375" style="75" bestFit="1" customWidth="1"/>
    <col min="3366" max="3366" width="14.7109375" style="75" customWidth="1"/>
    <col min="3367" max="3367" width="27" style="75" customWidth="1"/>
    <col min="3368" max="3369" width="16.28515625" style="75" bestFit="1" customWidth="1"/>
    <col min="3370" max="3370" width="46.28515625" style="75" bestFit="1" customWidth="1"/>
    <col min="3371" max="3371" width="23.85546875" style="75" customWidth="1"/>
    <col min="3372" max="3372" width="17.140625" style="75" bestFit="1" customWidth="1"/>
    <col min="3373" max="3373" width="18.5703125" style="75" bestFit="1" customWidth="1"/>
    <col min="3374" max="3375" width="20.5703125" style="75" customWidth="1"/>
    <col min="3376" max="3376" width="11.42578125" style="75" bestFit="1" customWidth="1"/>
    <col min="3377" max="3581" width="9.140625" style="75"/>
    <col min="3582" max="3582" width="8" style="75" customWidth="1"/>
    <col min="3583" max="3583" width="7.140625" style="75" customWidth="1"/>
    <col min="3584" max="3584" width="17" style="75" bestFit="1" customWidth="1"/>
    <col min="3585" max="3585" width="20.28515625" style="75" bestFit="1" customWidth="1"/>
    <col min="3586" max="3586" width="2.7109375" style="75" customWidth="1"/>
    <col min="3587" max="3587" width="5.5703125" style="75" customWidth="1"/>
    <col min="3588" max="3588" width="14.42578125" style="75" customWidth="1"/>
    <col min="3589" max="3589" width="18.42578125" style="75" customWidth="1"/>
    <col min="3590" max="3590" width="13" style="75" customWidth="1"/>
    <col min="3591" max="3591" width="16.7109375" style="75" customWidth="1"/>
    <col min="3592" max="3592" width="14.7109375" style="75" customWidth="1"/>
    <col min="3593" max="3593" width="18.42578125" style="75" customWidth="1"/>
    <col min="3594" max="3594" width="16.7109375" style="75" customWidth="1"/>
    <col min="3595" max="3595" width="4.140625" style="75" customWidth="1"/>
    <col min="3596" max="3596" width="7.28515625" style="75" customWidth="1"/>
    <col min="3597" max="3597" width="11.140625" style="75" bestFit="1" customWidth="1"/>
    <col min="3598" max="3598" width="16.5703125" style="75" customWidth="1"/>
    <col min="3599" max="3599" width="16.7109375" style="75" customWidth="1"/>
    <col min="3600" max="3600" width="15.28515625" style="75" customWidth="1"/>
    <col min="3601" max="3601" width="25.5703125" style="75" bestFit="1" customWidth="1"/>
    <col min="3602" max="3602" width="9.42578125" style="75" customWidth="1"/>
    <col min="3603" max="3603" width="6.7109375" style="75" customWidth="1"/>
    <col min="3604" max="3604" width="14.85546875" style="75" customWidth="1"/>
    <col min="3605" max="3605" width="15.7109375" style="75" customWidth="1"/>
    <col min="3606" max="3606" width="14.85546875" style="75" customWidth="1"/>
    <col min="3607" max="3607" width="12.5703125" style="75" bestFit="1" customWidth="1"/>
    <col min="3608" max="3608" width="12.85546875" style="75" customWidth="1"/>
    <col min="3609" max="3609" width="13.7109375" style="75" bestFit="1" customWidth="1"/>
    <col min="3610" max="3610" width="14.28515625" style="75" bestFit="1" customWidth="1"/>
    <col min="3611" max="3611" width="17.28515625" style="75" customWidth="1"/>
    <col min="3612" max="3612" width="13.140625" style="75" bestFit="1" customWidth="1"/>
    <col min="3613" max="3613" width="16.28515625" style="75" bestFit="1" customWidth="1"/>
    <col min="3614" max="3614" width="13.140625" style="75" bestFit="1" customWidth="1"/>
    <col min="3615" max="3617" width="14.7109375" style="75" bestFit="1" customWidth="1"/>
    <col min="3618" max="3618" width="16.28515625" style="75" bestFit="1" customWidth="1"/>
    <col min="3619" max="3619" width="17.7109375" style="75" bestFit="1" customWidth="1"/>
    <col min="3620" max="3621" width="14.7109375" style="75" bestFit="1" customWidth="1"/>
    <col min="3622" max="3622" width="14.7109375" style="75" customWidth="1"/>
    <col min="3623" max="3623" width="27" style="75" customWidth="1"/>
    <col min="3624" max="3625" width="16.28515625" style="75" bestFit="1" customWidth="1"/>
    <col min="3626" max="3626" width="46.28515625" style="75" bestFit="1" customWidth="1"/>
    <col min="3627" max="3627" width="23.85546875" style="75" customWidth="1"/>
    <col min="3628" max="3628" width="17.140625" style="75" bestFit="1" customWidth="1"/>
    <col min="3629" max="3629" width="18.5703125" style="75" bestFit="1" customWidth="1"/>
    <col min="3630" max="3631" width="20.5703125" style="75" customWidth="1"/>
    <col min="3632" max="3632" width="11.42578125" style="75" bestFit="1" customWidth="1"/>
    <col min="3633" max="3837" width="9.140625" style="75"/>
    <col min="3838" max="3838" width="8" style="75" customWidth="1"/>
    <col min="3839" max="3839" width="7.140625" style="75" customWidth="1"/>
    <col min="3840" max="3840" width="17" style="75" bestFit="1" customWidth="1"/>
    <col min="3841" max="3841" width="20.28515625" style="75" bestFit="1" customWidth="1"/>
    <col min="3842" max="3842" width="2.7109375" style="75" customWidth="1"/>
    <col min="3843" max="3843" width="5.5703125" style="75" customWidth="1"/>
    <col min="3844" max="3844" width="14.42578125" style="75" customWidth="1"/>
    <col min="3845" max="3845" width="18.42578125" style="75" customWidth="1"/>
    <col min="3846" max="3846" width="13" style="75" customWidth="1"/>
    <col min="3847" max="3847" width="16.7109375" style="75" customWidth="1"/>
    <col min="3848" max="3848" width="14.7109375" style="75" customWidth="1"/>
    <col min="3849" max="3849" width="18.42578125" style="75" customWidth="1"/>
    <col min="3850" max="3850" width="16.7109375" style="75" customWidth="1"/>
    <col min="3851" max="3851" width="4.140625" style="75" customWidth="1"/>
    <col min="3852" max="3852" width="7.28515625" style="75" customWidth="1"/>
    <col min="3853" max="3853" width="11.140625" style="75" bestFit="1" customWidth="1"/>
    <col min="3854" max="3854" width="16.5703125" style="75" customWidth="1"/>
    <col min="3855" max="3855" width="16.7109375" style="75" customWidth="1"/>
    <col min="3856" max="3856" width="15.28515625" style="75" customWidth="1"/>
    <col min="3857" max="3857" width="25.5703125" style="75" bestFit="1" customWidth="1"/>
    <col min="3858" max="3858" width="9.42578125" style="75" customWidth="1"/>
    <col min="3859" max="3859" width="6.7109375" style="75" customWidth="1"/>
    <col min="3860" max="3860" width="14.85546875" style="75" customWidth="1"/>
    <col min="3861" max="3861" width="15.7109375" style="75" customWidth="1"/>
    <col min="3862" max="3862" width="14.85546875" style="75" customWidth="1"/>
    <col min="3863" max="3863" width="12.5703125" style="75" bestFit="1" customWidth="1"/>
    <col min="3864" max="3864" width="12.85546875" style="75" customWidth="1"/>
    <col min="3865" max="3865" width="13.7109375" style="75" bestFit="1" customWidth="1"/>
    <col min="3866" max="3866" width="14.28515625" style="75" bestFit="1" customWidth="1"/>
    <col min="3867" max="3867" width="17.28515625" style="75" customWidth="1"/>
    <col min="3868" max="3868" width="13.140625" style="75" bestFit="1" customWidth="1"/>
    <col min="3869" max="3869" width="16.28515625" style="75" bestFit="1" customWidth="1"/>
    <col min="3870" max="3870" width="13.140625" style="75" bestFit="1" customWidth="1"/>
    <col min="3871" max="3873" width="14.7109375" style="75" bestFit="1" customWidth="1"/>
    <col min="3874" max="3874" width="16.28515625" style="75" bestFit="1" customWidth="1"/>
    <col min="3875" max="3875" width="17.7109375" style="75" bestFit="1" customWidth="1"/>
    <col min="3876" max="3877" width="14.7109375" style="75" bestFit="1" customWidth="1"/>
    <col min="3878" max="3878" width="14.7109375" style="75" customWidth="1"/>
    <col min="3879" max="3879" width="27" style="75" customWidth="1"/>
    <col min="3880" max="3881" width="16.28515625" style="75" bestFit="1" customWidth="1"/>
    <col min="3882" max="3882" width="46.28515625" style="75" bestFit="1" customWidth="1"/>
    <col min="3883" max="3883" width="23.85546875" style="75" customWidth="1"/>
    <col min="3884" max="3884" width="17.140625" style="75" bestFit="1" customWidth="1"/>
    <col min="3885" max="3885" width="18.5703125" style="75" bestFit="1" customWidth="1"/>
    <col min="3886" max="3887" width="20.5703125" style="75" customWidth="1"/>
    <col min="3888" max="3888" width="11.42578125" style="75" bestFit="1" customWidth="1"/>
    <col min="3889" max="4093" width="9.140625" style="75"/>
    <col min="4094" max="4094" width="8" style="75" customWidth="1"/>
    <col min="4095" max="4095" width="7.140625" style="75" customWidth="1"/>
    <col min="4096" max="4096" width="17" style="75" bestFit="1" customWidth="1"/>
    <col min="4097" max="4097" width="20.28515625" style="75" bestFit="1" customWidth="1"/>
    <col min="4098" max="4098" width="2.7109375" style="75" customWidth="1"/>
    <col min="4099" max="4099" width="5.5703125" style="75" customWidth="1"/>
    <col min="4100" max="4100" width="14.42578125" style="75" customWidth="1"/>
    <col min="4101" max="4101" width="18.42578125" style="75" customWidth="1"/>
    <col min="4102" max="4102" width="13" style="75" customWidth="1"/>
    <col min="4103" max="4103" width="16.7109375" style="75" customWidth="1"/>
    <col min="4104" max="4104" width="14.7109375" style="75" customWidth="1"/>
    <col min="4105" max="4105" width="18.42578125" style="75" customWidth="1"/>
    <col min="4106" max="4106" width="16.7109375" style="75" customWidth="1"/>
    <col min="4107" max="4107" width="4.140625" style="75" customWidth="1"/>
    <col min="4108" max="4108" width="7.28515625" style="75" customWidth="1"/>
    <col min="4109" max="4109" width="11.140625" style="75" bestFit="1" customWidth="1"/>
    <col min="4110" max="4110" width="16.5703125" style="75" customWidth="1"/>
    <col min="4111" max="4111" width="16.7109375" style="75" customWidth="1"/>
    <col min="4112" max="4112" width="15.28515625" style="75" customWidth="1"/>
    <col min="4113" max="4113" width="25.5703125" style="75" bestFit="1" customWidth="1"/>
    <col min="4114" max="4114" width="9.42578125" style="75" customWidth="1"/>
    <col min="4115" max="4115" width="6.7109375" style="75" customWidth="1"/>
    <col min="4116" max="4116" width="14.85546875" style="75" customWidth="1"/>
    <col min="4117" max="4117" width="15.7109375" style="75" customWidth="1"/>
    <col min="4118" max="4118" width="14.85546875" style="75" customWidth="1"/>
    <col min="4119" max="4119" width="12.5703125" style="75" bestFit="1" customWidth="1"/>
    <col min="4120" max="4120" width="12.85546875" style="75" customWidth="1"/>
    <col min="4121" max="4121" width="13.7109375" style="75" bestFit="1" customWidth="1"/>
    <col min="4122" max="4122" width="14.28515625" style="75" bestFit="1" customWidth="1"/>
    <col min="4123" max="4123" width="17.28515625" style="75" customWidth="1"/>
    <col min="4124" max="4124" width="13.140625" style="75" bestFit="1" customWidth="1"/>
    <col min="4125" max="4125" width="16.28515625" style="75" bestFit="1" customWidth="1"/>
    <col min="4126" max="4126" width="13.140625" style="75" bestFit="1" customWidth="1"/>
    <col min="4127" max="4129" width="14.7109375" style="75" bestFit="1" customWidth="1"/>
    <col min="4130" max="4130" width="16.28515625" style="75" bestFit="1" customWidth="1"/>
    <col min="4131" max="4131" width="17.7109375" style="75" bestFit="1" customWidth="1"/>
    <col min="4132" max="4133" width="14.7109375" style="75" bestFit="1" customWidth="1"/>
    <col min="4134" max="4134" width="14.7109375" style="75" customWidth="1"/>
    <col min="4135" max="4135" width="27" style="75" customWidth="1"/>
    <col min="4136" max="4137" width="16.28515625" style="75" bestFit="1" customWidth="1"/>
    <col min="4138" max="4138" width="46.28515625" style="75" bestFit="1" customWidth="1"/>
    <col min="4139" max="4139" width="23.85546875" style="75" customWidth="1"/>
    <col min="4140" max="4140" width="17.140625" style="75" bestFit="1" customWidth="1"/>
    <col min="4141" max="4141" width="18.5703125" style="75" bestFit="1" customWidth="1"/>
    <col min="4142" max="4143" width="20.5703125" style="75" customWidth="1"/>
    <col min="4144" max="4144" width="11.42578125" style="75" bestFit="1" customWidth="1"/>
    <col min="4145" max="4349" width="9.140625" style="75"/>
    <col min="4350" max="4350" width="8" style="75" customWidth="1"/>
    <col min="4351" max="4351" width="7.140625" style="75" customWidth="1"/>
    <col min="4352" max="4352" width="17" style="75" bestFit="1" customWidth="1"/>
    <col min="4353" max="4353" width="20.28515625" style="75" bestFit="1" customWidth="1"/>
    <col min="4354" max="4354" width="2.7109375" style="75" customWidth="1"/>
    <col min="4355" max="4355" width="5.5703125" style="75" customWidth="1"/>
    <col min="4356" max="4356" width="14.42578125" style="75" customWidth="1"/>
    <col min="4357" max="4357" width="18.42578125" style="75" customWidth="1"/>
    <col min="4358" max="4358" width="13" style="75" customWidth="1"/>
    <col min="4359" max="4359" width="16.7109375" style="75" customWidth="1"/>
    <col min="4360" max="4360" width="14.7109375" style="75" customWidth="1"/>
    <col min="4361" max="4361" width="18.42578125" style="75" customWidth="1"/>
    <col min="4362" max="4362" width="16.7109375" style="75" customWidth="1"/>
    <col min="4363" max="4363" width="4.140625" style="75" customWidth="1"/>
    <col min="4364" max="4364" width="7.28515625" style="75" customWidth="1"/>
    <col min="4365" max="4365" width="11.140625" style="75" bestFit="1" customWidth="1"/>
    <col min="4366" max="4366" width="16.5703125" style="75" customWidth="1"/>
    <col min="4367" max="4367" width="16.7109375" style="75" customWidth="1"/>
    <col min="4368" max="4368" width="15.28515625" style="75" customWidth="1"/>
    <col min="4369" max="4369" width="25.5703125" style="75" bestFit="1" customWidth="1"/>
    <col min="4370" max="4370" width="9.42578125" style="75" customWidth="1"/>
    <col min="4371" max="4371" width="6.7109375" style="75" customWidth="1"/>
    <col min="4372" max="4372" width="14.85546875" style="75" customWidth="1"/>
    <col min="4373" max="4373" width="15.7109375" style="75" customWidth="1"/>
    <col min="4374" max="4374" width="14.85546875" style="75" customWidth="1"/>
    <col min="4375" max="4375" width="12.5703125" style="75" bestFit="1" customWidth="1"/>
    <col min="4376" max="4376" width="12.85546875" style="75" customWidth="1"/>
    <col min="4377" max="4377" width="13.7109375" style="75" bestFit="1" customWidth="1"/>
    <col min="4378" max="4378" width="14.28515625" style="75" bestFit="1" customWidth="1"/>
    <col min="4379" max="4379" width="17.28515625" style="75" customWidth="1"/>
    <col min="4380" max="4380" width="13.140625" style="75" bestFit="1" customWidth="1"/>
    <col min="4381" max="4381" width="16.28515625" style="75" bestFit="1" customWidth="1"/>
    <col min="4382" max="4382" width="13.140625" style="75" bestFit="1" customWidth="1"/>
    <col min="4383" max="4385" width="14.7109375" style="75" bestFit="1" customWidth="1"/>
    <col min="4386" max="4386" width="16.28515625" style="75" bestFit="1" customWidth="1"/>
    <col min="4387" max="4387" width="17.7109375" style="75" bestFit="1" customWidth="1"/>
    <col min="4388" max="4389" width="14.7109375" style="75" bestFit="1" customWidth="1"/>
    <col min="4390" max="4390" width="14.7109375" style="75" customWidth="1"/>
    <col min="4391" max="4391" width="27" style="75" customWidth="1"/>
    <col min="4392" max="4393" width="16.28515625" style="75" bestFit="1" customWidth="1"/>
    <col min="4394" max="4394" width="46.28515625" style="75" bestFit="1" customWidth="1"/>
    <col min="4395" max="4395" width="23.85546875" style="75" customWidth="1"/>
    <col min="4396" max="4396" width="17.140625" style="75" bestFit="1" customWidth="1"/>
    <col min="4397" max="4397" width="18.5703125" style="75" bestFit="1" customWidth="1"/>
    <col min="4398" max="4399" width="20.5703125" style="75" customWidth="1"/>
    <col min="4400" max="4400" width="11.42578125" style="75" bestFit="1" customWidth="1"/>
    <col min="4401" max="4605" width="9.140625" style="75"/>
    <col min="4606" max="4606" width="8" style="75" customWidth="1"/>
    <col min="4607" max="4607" width="7.140625" style="75" customWidth="1"/>
    <col min="4608" max="4608" width="17" style="75" bestFit="1" customWidth="1"/>
    <col min="4609" max="4609" width="20.28515625" style="75" bestFit="1" customWidth="1"/>
    <col min="4610" max="4610" width="2.7109375" style="75" customWidth="1"/>
    <col min="4611" max="4611" width="5.5703125" style="75" customWidth="1"/>
    <col min="4612" max="4612" width="14.42578125" style="75" customWidth="1"/>
    <col min="4613" max="4613" width="18.42578125" style="75" customWidth="1"/>
    <col min="4614" max="4614" width="13" style="75" customWidth="1"/>
    <col min="4615" max="4615" width="16.7109375" style="75" customWidth="1"/>
    <col min="4616" max="4616" width="14.7109375" style="75" customWidth="1"/>
    <col min="4617" max="4617" width="18.42578125" style="75" customWidth="1"/>
    <col min="4618" max="4618" width="16.7109375" style="75" customWidth="1"/>
    <col min="4619" max="4619" width="4.140625" style="75" customWidth="1"/>
    <col min="4620" max="4620" width="7.28515625" style="75" customWidth="1"/>
    <col min="4621" max="4621" width="11.140625" style="75" bestFit="1" customWidth="1"/>
    <col min="4622" max="4622" width="16.5703125" style="75" customWidth="1"/>
    <col min="4623" max="4623" width="16.7109375" style="75" customWidth="1"/>
    <col min="4624" max="4624" width="15.28515625" style="75" customWidth="1"/>
    <col min="4625" max="4625" width="25.5703125" style="75" bestFit="1" customWidth="1"/>
    <col min="4626" max="4626" width="9.42578125" style="75" customWidth="1"/>
    <col min="4627" max="4627" width="6.7109375" style="75" customWidth="1"/>
    <col min="4628" max="4628" width="14.85546875" style="75" customWidth="1"/>
    <col min="4629" max="4629" width="15.7109375" style="75" customWidth="1"/>
    <col min="4630" max="4630" width="14.85546875" style="75" customWidth="1"/>
    <col min="4631" max="4631" width="12.5703125" style="75" bestFit="1" customWidth="1"/>
    <col min="4632" max="4632" width="12.85546875" style="75" customWidth="1"/>
    <col min="4633" max="4633" width="13.7109375" style="75" bestFit="1" customWidth="1"/>
    <col min="4634" max="4634" width="14.28515625" style="75" bestFit="1" customWidth="1"/>
    <col min="4635" max="4635" width="17.28515625" style="75" customWidth="1"/>
    <col min="4636" max="4636" width="13.140625" style="75" bestFit="1" customWidth="1"/>
    <col min="4637" max="4637" width="16.28515625" style="75" bestFit="1" customWidth="1"/>
    <col min="4638" max="4638" width="13.140625" style="75" bestFit="1" customWidth="1"/>
    <col min="4639" max="4641" width="14.7109375" style="75" bestFit="1" customWidth="1"/>
    <col min="4642" max="4642" width="16.28515625" style="75" bestFit="1" customWidth="1"/>
    <col min="4643" max="4643" width="17.7109375" style="75" bestFit="1" customWidth="1"/>
    <col min="4644" max="4645" width="14.7109375" style="75" bestFit="1" customWidth="1"/>
    <col min="4646" max="4646" width="14.7109375" style="75" customWidth="1"/>
    <col min="4647" max="4647" width="27" style="75" customWidth="1"/>
    <col min="4648" max="4649" width="16.28515625" style="75" bestFit="1" customWidth="1"/>
    <col min="4650" max="4650" width="46.28515625" style="75" bestFit="1" customWidth="1"/>
    <col min="4651" max="4651" width="23.85546875" style="75" customWidth="1"/>
    <col min="4652" max="4652" width="17.140625" style="75" bestFit="1" customWidth="1"/>
    <col min="4653" max="4653" width="18.5703125" style="75" bestFit="1" customWidth="1"/>
    <col min="4654" max="4655" width="20.5703125" style="75" customWidth="1"/>
    <col min="4656" max="4656" width="11.42578125" style="75" bestFit="1" customWidth="1"/>
    <col min="4657" max="4861" width="9.140625" style="75"/>
    <col min="4862" max="4862" width="8" style="75" customWidth="1"/>
    <col min="4863" max="4863" width="7.140625" style="75" customWidth="1"/>
    <col min="4864" max="4864" width="17" style="75" bestFit="1" customWidth="1"/>
    <col min="4865" max="4865" width="20.28515625" style="75" bestFit="1" customWidth="1"/>
    <col min="4866" max="4866" width="2.7109375" style="75" customWidth="1"/>
    <col min="4867" max="4867" width="5.5703125" style="75" customWidth="1"/>
    <col min="4868" max="4868" width="14.42578125" style="75" customWidth="1"/>
    <col min="4869" max="4869" width="18.42578125" style="75" customWidth="1"/>
    <col min="4870" max="4870" width="13" style="75" customWidth="1"/>
    <col min="4871" max="4871" width="16.7109375" style="75" customWidth="1"/>
    <col min="4872" max="4872" width="14.7109375" style="75" customWidth="1"/>
    <col min="4873" max="4873" width="18.42578125" style="75" customWidth="1"/>
    <col min="4874" max="4874" width="16.7109375" style="75" customWidth="1"/>
    <col min="4875" max="4875" width="4.140625" style="75" customWidth="1"/>
    <col min="4876" max="4876" width="7.28515625" style="75" customWidth="1"/>
    <col min="4877" max="4877" width="11.140625" style="75" bestFit="1" customWidth="1"/>
    <col min="4878" max="4878" width="16.5703125" style="75" customWidth="1"/>
    <col min="4879" max="4879" width="16.7109375" style="75" customWidth="1"/>
    <col min="4880" max="4880" width="15.28515625" style="75" customWidth="1"/>
    <col min="4881" max="4881" width="25.5703125" style="75" bestFit="1" customWidth="1"/>
    <col min="4882" max="4882" width="9.42578125" style="75" customWidth="1"/>
    <col min="4883" max="4883" width="6.7109375" style="75" customWidth="1"/>
    <col min="4884" max="4884" width="14.85546875" style="75" customWidth="1"/>
    <col min="4885" max="4885" width="15.7109375" style="75" customWidth="1"/>
    <col min="4886" max="4886" width="14.85546875" style="75" customWidth="1"/>
    <col min="4887" max="4887" width="12.5703125" style="75" bestFit="1" customWidth="1"/>
    <col min="4888" max="4888" width="12.85546875" style="75" customWidth="1"/>
    <col min="4889" max="4889" width="13.7109375" style="75" bestFit="1" customWidth="1"/>
    <col min="4890" max="4890" width="14.28515625" style="75" bestFit="1" customWidth="1"/>
    <col min="4891" max="4891" width="17.28515625" style="75" customWidth="1"/>
    <col min="4892" max="4892" width="13.140625" style="75" bestFit="1" customWidth="1"/>
    <col min="4893" max="4893" width="16.28515625" style="75" bestFit="1" customWidth="1"/>
    <col min="4894" max="4894" width="13.140625" style="75" bestFit="1" customWidth="1"/>
    <col min="4895" max="4897" width="14.7109375" style="75" bestFit="1" customWidth="1"/>
    <col min="4898" max="4898" width="16.28515625" style="75" bestFit="1" customWidth="1"/>
    <col min="4899" max="4899" width="17.7109375" style="75" bestFit="1" customWidth="1"/>
    <col min="4900" max="4901" width="14.7109375" style="75" bestFit="1" customWidth="1"/>
    <col min="4902" max="4902" width="14.7109375" style="75" customWidth="1"/>
    <col min="4903" max="4903" width="27" style="75" customWidth="1"/>
    <col min="4904" max="4905" width="16.28515625" style="75" bestFit="1" customWidth="1"/>
    <col min="4906" max="4906" width="46.28515625" style="75" bestFit="1" customWidth="1"/>
    <col min="4907" max="4907" width="23.85546875" style="75" customWidth="1"/>
    <col min="4908" max="4908" width="17.140625" style="75" bestFit="1" customWidth="1"/>
    <col min="4909" max="4909" width="18.5703125" style="75" bestFit="1" customWidth="1"/>
    <col min="4910" max="4911" width="20.5703125" style="75" customWidth="1"/>
    <col min="4912" max="4912" width="11.42578125" style="75" bestFit="1" customWidth="1"/>
    <col min="4913" max="5117" width="9.140625" style="75"/>
    <col min="5118" max="5118" width="8" style="75" customWidth="1"/>
    <col min="5119" max="5119" width="7.140625" style="75" customWidth="1"/>
    <col min="5120" max="5120" width="17" style="75" bestFit="1" customWidth="1"/>
    <col min="5121" max="5121" width="20.28515625" style="75" bestFit="1" customWidth="1"/>
    <col min="5122" max="5122" width="2.7109375" style="75" customWidth="1"/>
    <col min="5123" max="5123" width="5.5703125" style="75" customWidth="1"/>
    <col min="5124" max="5124" width="14.42578125" style="75" customWidth="1"/>
    <col min="5125" max="5125" width="18.42578125" style="75" customWidth="1"/>
    <col min="5126" max="5126" width="13" style="75" customWidth="1"/>
    <col min="5127" max="5127" width="16.7109375" style="75" customWidth="1"/>
    <col min="5128" max="5128" width="14.7109375" style="75" customWidth="1"/>
    <col min="5129" max="5129" width="18.42578125" style="75" customWidth="1"/>
    <col min="5130" max="5130" width="16.7109375" style="75" customWidth="1"/>
    <col min="5131" max="5131" width="4.140625" style="75" customWidth="1"/>
    <col min="5132" max="5132" width="7.28515625" style="75" customWidth="1"/>
    <col min="5133" max="5133" width="11.140625" style="75" bestFit="1" customWidth="1"/>
    <col min="5134" max="5134" width="16.5703125" style="75" customWidth="1"/>
    <col min="5135" max="5135" width="16.7109375" style="75" customWidth="1"/>
    <col min="5136" max="5136" width="15.28515625" style="75" customWidth="1"/>
    <col min="5137" max="5137" width="25.5703125" style="75" bestFit="1" customWidth="1"/>
    <col min="5138" max="5138" width="9.42578125" style="75" customWidth="1"/>
    <col min="5139" max="5139" width="6.7109375" style="75" customWidth="1"/>
    <col min="5140" max="5140" width="14.85546875" style="75" customWidth="1"/>
    <col min="5141" max="5141" width="15.7109375" style="75" customWidth="1"/>
    <col min="5142" max="5142" width="14.85546875" style="75" customWidth="1"/>
    <col min="5143" max="5143" width="12.5703125" style="75" bestFit="1" customWidth="1"/>
    <col min="5144" max="5144" width="12.85546875" style="75" customWidth="1"/>
    <col min="5145" max="5145" width="13.7109375" style="75" bestFit="1" customWidth="1"/>
    <col min="5146" max="5146" width="14.28515625" style="75" bestFit="1" customWidth="1"/>
    <col min="5147" max="5147" width="17.28515625" style="75" customWidth="1"/>
    <col min="5148" max="5148" width="13.140625" style="75" bestFit="1" customWidth="1"/>
    <col min="5149" max="5149" width="16.28515625" style="75" bestFit="1" customWidth="1"/>
    <col min="5150" max="5150" width="13.140625" style="75" bestFit="1" customWidth="1"/>
    <col min="5151" max="5153" width="14.7109375" style="75" bestFit="1" customWidth="1"/>
    <col min="5154" max="5154" width="16.28515625" style="75" bestFit="1" customWidth="1"/>
    <col min="5155" max="5155" width="17.7109375" style="75" bestFit="1" customWidth="1"/>
    <col min="5156" max="5157" width="14.7109375" style="75" bestFit="1" customWidth="1"/>
    <col min="5158" max="5158" width="14.7109375" style="75" customWidth="1"/>
    <col min="5159" max="5159" width="27" style="75" customWidth="1"/>
    <col min="5160" max="5161" width="16.28515625" style="75" bestFit="1" customWidth="1"/>
    <col min="5162" max="5162" width="46.28515625" style="75" bestFit="1" customWidth="1"/>
    <col min="5163" max="5163" width="23.85546875" style="75" customWidth="1"/>
    <col min="5164" max="5164" width="17.140625" style="75" bestFit="1" customWidth="1"/>
    <col min="5165" max="5165" width="18.5703125" style="75" bestFit="1" customWidth="1"/>
    <col min="5166" max="5167" width="20.5703125" style="75" customWidth="1"/>
    <col min="5168" max="5168" width="11.42578125" style="75" bestFit="1" customWidth="1"/>
    <col min="5169" max="5373" width="9.140625" style="75"/>
    <col min="5374" max="5374" width="8" style="75" customWidth="1"/>
    <col min="5375" max="5375" width="7.140625" style="75" customWidth="1"/>
    <col min="5376" max="5376" width="17" style="75" bestFit="1" customWidth="1"/>
    <col min="5377" max="5377" width="20.28515625" style="75" bestFit="1" customWidth="1"/>
    <col min="5378" max="5378" width="2.7109375" style="75" customWidth="1"/>
    <col min="5379" max="5379" width="5.5703125" style="75" customWidth="1"/>
    <col min="5380" max="5380" width="14.42578125" style="75" customWidth="1"/>
    <col min="5381" max="5381" width="18.42578125" style="75" customWidth="1"/>
    <col min="5382" max="5382" width="13" style="75" customWidth="1"/>
    <col min="5383" max="5383" width="16.7109375" style="75" customWidth="1"/>
    <col min="5384" max="5384" width="14.7109375" style="75" customWidth="1"/>
    <col min="5385" max="5385" width="18.42578125" style="75" customWidth="1"/>
    <col min="5386" max="5386" width="16.7109375" style="75" customWidth="1"/>
    <col min="5387" max="5387" width="4.140625" style="75" customWidth="1"/>
    <col min="5388" max="5388" width="7.28515625" style="75" customWidth="1"/>
    <col min="5389" max="5389" width="11.140625" style="75" bestFit="1" customWidth="1"/>
    <col min="5390" max="5390" width="16.5703125" style="75" customWidth="1"/>
    <col min="5391" max="5391" width="16.7109375" style="75" customWidth="1"/>
    <col min="5392" max="5392" width="15.28515625" style="75" customWidth="1"/>
    <col min="5393" max="5393" width="25.5703125" style="75" bestFit="1" customWidth="1"/>
    <col min="5394" max="5394" width="9.42578125" style="75" customWidth="1"/>
    <col min="5395" max="5395" width="6.7109375" style="75" customWidth="1"/>
    <col min="5396" max="5396" width="14.85546875" style="75" customWidth="1"/>
    <col min="5397" max="5397" width="15.7109375" style="75" customWidth="1"/>
    <col min="5398" max="5398" width="14.85546875" style="75" customWidth="1"/>
    <col min="5399" max="5399" width="12.5703125" style="75" bestFit="1" customWidth="1"/>
    <col min="5400" max="5400" width="12.85546875" style="75" customWidth="1"/>
    <col min="5401" max="5401" width="13.7109375" style="75" bestFit="1" customWidth="1"/>
    <col min="5402" max="5402" width="14.28515625" style="75" bestFit="1" customWidth="1"/>
    <col min="5403" max="5403" width="17.28515625" style="75" customWidth="1"/>
    <col min="5404" max="5404" width="13.140625" style="75" bestFit="1" customWidth="1"/>
    <col min="5405" max="5405" width="16.28515625" style="75" bestFit="1" customWidth="1"/>
    <col min="5406" max="5406" width="13.140625" style="75" bestFit="1" customWidth="1"/>
    <col min="5407" max="5409" width="14.7109375" style="75" bestFit="1" customWidth="1"/>
    <col min="5410" max="5410" width="16.28515625" style="75" bestFit="1" customWidth="1"/>
    <col min="5411" max="5411" width="17.7109375" style="75" bestFit="1" customWidth="1"/>
    <col min="5412" max="5413" width="14.7109375" style="75" bestFit="1" customWidth="1"/>
    <col min="5414" max="5414" width="14.7109375" style="75" customWidth="1"/>
    <col min="5415" max="5415" width="27" style="75" customWidth="1"/>
    <col min="5416" max="5417" width="16.28515625" style="75" bestFit="1" customWidth="1"/>
    <col min="5418" max="5418" width="46.28515625" style="75" bestFit="1" customWidth="1"/>
    <col min="5419" max="5419" width="23.85546875" style="75" customWidth="1"/>
    <col min="5420" max="5420" width="17.140625" style="75" bestFit="1" customWidth="1"/>
    <col min="5421" max="5421" width="18.5703125" style="75" bestFit="1" customWidth="1"/>
    <col min="5422" max="5423" width="20.5703125" style="75" customWidth="1"/>
    <col min="5424" max="5424" width="11.42578125" style="75" bestFit="1" customWidth="1"/>
    <col min="5425" max="5629" width="9.140625" style="75"/>
    <col min="5630" max="5630" width="8" style="75" customWidth="1"/>
    <col min="5631" max="5631" width="7.140625" style="75" customWidth="1"/>
    <col min="5632" max="5632" width="17" style="75" bestFit="1" customWidth="1"/>
    <col min="5633" max="5633" width="20.28515625" style="75" bestFit="1" customWidth="1"/>
    <col min="5634" max="5634" width="2.7109375" style="75" customWidth="1"/>
    <col min="5635" max="5635" width="5.5703125" style="75" customWidth="1"/>
    <col min="5636" max="5636" width="14.42578125" style="75" customWidth="1"/>
    <col min="5637" max="5637" width="18.42578125" style="75" customWidth="1"/>
    <col min="5638" max="5638" width="13" style="75" customWidth="1"/>
    <col min="5639" max="5639" width="16.7109375" style="75" customWidth="1"/>
    <col min="5640" max="5640" width="14.7109375" style="75" customWidth="1"/>
    <col min="5641" max="5641" width="18.42578125" style="75" customWidth="1"/>
    <col min="5642" max="5642" width="16.7109375" style="75" customWidth="1"/>
    <col min="5643" max="5643" width="4.140625" style="75" customWidth="1"/>
    <col min="5644" max="5644" width="7.28515625" style="75" customWidth="1"/>
    <col min="5645" max="5645" width="11.140625" style="75" bestFit="1" customWidth="1"/>
    <col min="5646" max="5646" width="16.5703125" style="75" customWidth="1"/>
    <col min="5647" max="5647" width="16.7109375" style="75" customWidth="1"/>
    <col min="5648" max="5648" width="15.28515625" style="75" customWidth="1"/>
    <col min="5649" max="5649" width="25.5703125" style="75" bestFit="1" customWidth="1"/>
    <col min="5650" max="5650" width="9.42578125" style="75" customWidth="1"/>
    <col min="5651" max="5651" width="6.7109375" style="75" customWidth="1"/>
    <col min="5652" max="5652" width="14.85546875" style="75" customWidth="1"/>
    <col min="5653" max="5653" width="15.7109375" style="75" customWidth="1"/>
    <col min="5654" max="5654" width="14.85546875" style="75" customWidth="1"/>
    <col min="5655" max="5655" width="12.5703125" style="75" bestFit="1" customWidth="1"/>
    <col min="5656" max="5656" width="12.85546875" style="75" customWidth="1"/>
    <col min="5657" max="5657" width="13.7109375" style="75" bestFit="1" customWidth="1"/>
    <col min="5658" max="5658" width="14.28515625" style="75" bestFit="1" customWidth="1"/>
    <col min="5659" max="5659" width="17.28515625" style="75" customWidth="1"/>
    <col min="5660" max="5660" width="13.140625" style="75" bestFit="1" customWidth="1"/>
    <col min="5661" max="5661" width="16.28515625" style="75" bestFit="1" customWidth="1"/>
    <col min="5662" max="5662" width="13.140625" style="75" bestFit="1" customWidth="1"/>
    <col min="5663" max="5665" width="14.7109375" style="75" bestFit="1" customWidth="1"/>
    <col min="5666" max="5666" width="16.28515625" style="75" bestFit="1" customWidth="1"/>
    <col min="5667" max="5667" width="17.7109375" style="75" bestFit="1" customWidth="1"/>
    <col min="5668" max="5669" width="14.7109375" style="75" bestFit="1" customWidth="1"/>
    <col min="5670" max="5670" width="14.7109375" style="75" customWidth="1"/>
    <col min="5671" max="5671" width="27" style="75" customWidth="1"/>
    <col min="5672" max="5673" width="16.28515625" style="75" bestFit="1" customWidth="1"/>
    <col min="5674" max="5674" width="46.28515625" style="75" bestFit="1" customWidth="1"/>
    <col min="5675" max="5675" width="23.85546875" style="75" customWidth="1"/>
    <col min="5676" max="5676" width="17.140625" style="75" bestFit="1" customWidth="1"/>
    <col min="5677" max="5677" width="18.5703125" style="75" bestFit="1" customWidth="1"/>
    <col min="5678" max="5679" width="20.5703125" style="75" customWidth="1"/>
    <col min="5680" max="5680" width="11.42578125" style="75" bestFit="1" customWidth="1"/>
    <col min="5681" max="5885" width="9.140625" style="75"/>
    <col min="5886" max="5886" width="8" style="75" customWidth="1"/>
    <col min="5887" max="5887" width="7.140625" style="75" customWidth="1"/>
    <col min="5888" max="5888" width="17" style="75" bestFit="1" customWidth="1"/>
    <col min="5889" max="5889" width="20.28515625" style="75" bestFit="1" customWidth="1"/>
    <col min="5890" max="5890" width="2.7109375" style="75" customWidth="1"/>
    <col min="5891" max="5891" width="5.5703125" style="75" customWidth="1"/>
    <col min="5892" max="5892" width="14.42578125" style="75" customWidth="1"/>
    <col min="5893" max="5893" width="18.42578125" style="75" customWidth="1"/>
    <col min="5894" max="5894" width="13" style="75" customWidth="1"/>
    <col min="5895" max="5895" width="16.7109375" style="75" customWidth="1"/>
    <col min="5896" max="5896" width="14.7109375" style="75" customWidth="1"/>
    <col min="5897" max="5897" width="18.42578125" style="75" customWidth="1"/>
    <col min="5898" max="5898" width="16.7109375" style="75" customWidth="1"/>
    <col min="5899" max="5899" width="4.140625" style="75" customWidth="1"/>
    <col min="5900" max="5900" width="7.28515625" style="75" customWidth="1"/>
    <col min="5901" max="5901" width="11.140625" style="75" bestFit="1" customWidth="1"/>
    <col min="5902" max="5902" width="16.5703125" style="75" customWidth="1"/>
    <col min="5903" max="5903" width="16.7109375" style="75" customWidth="1"/>
    <col min="5904" max="5904" width="15.28515625" style="75" customWidth="1"/>
    <col min="5905" max="5905" width="25.5703125" style="75" bestFit="1" customWidth="1"/>
    <col min="5906" max="5906" width="9.42578125" style="75" customWidth="1"/>
    <col min="5907" max="5907" width="6.7109375" style="75" customWidth="1"/>
    <col min="5908" max="5908" width="14.85546875" style="75" customWidth="1"/>
    <col min="5909" max="5909" width="15.7109375" style="75" customWidth="1"/>
    <col min="5910" max="5910" width="14.85546875" style="75" customWidth="1"/>
    <col min="5911" max="5911" width="12.5703125" style="75" bestFit="1" customWidth="1"/>
    <col min="5912" max="5912" width="12.85546875" style="75" customWidth="1"/>
    <col min="5913" max="5913" width="13.7109375" style="75" bestFit="1" customWidth="1"/>
    <col min="5914" max="5914" width="14.28515625" style="75" bestFit="1" customWidth="1"/>
    <col min="5915" max="5915" width="17.28515625" style="75" customWidth="1"/>
    <col min="5916" max="5916" width="13.140625" style="75" bestFit="1" customWidth="1"/>
    <col min="5917" max="5917" width="16.28515625" style="75" bestFit="1" customWidth="1"/>
    <col min="5918" max="5918" width="13.140625" style="75" bestFit="1" customWidth="1"/>
    <col min="5919" max="5921" width="14.7109375" style="75" bestFit="1" customWidth="1"/>
    <col min="5922" max="5922" width="16.28515625" style="75" bestFit="1" customWidth="1"/>
    <col min="5923" max="5923" width="17.7109375" style="75" bestFit="1" customWidth="1"/>
    <col min="5924" max="5925" width="14.7109375" style="75" bestFit="1" customWidth="1"/>
    <col min="5926" max="5926" width="14.7109375" style="75" customWidth="1"/>
    <col min="5927" max="5927" width="27" style="75" customWidth="1"/>
    <col min="5928" max="5929" width="16.28515625" style="75" bestFit="1" customWidth="1"/>
    <col min="5930" max="5930" width="46.28515625" style="75" bestFit="1" customWidth="1"/>
    <col min="5931" max="5931" width="23.85546875" style="75" customWidth="1"/>
    <col min="5932" max="5932" width="17.140625" style="75" bestFit="1" customWidth="1"/>
    <col min="5933" max="5933" width="18.5703125" style="75" bestFit="1" customWidth="1"/>
    <col min="5934" max="5935" width="20.5703125" style="75" customWidth="1"/>
    <col min="5936" max="5936" width="11.42578125" style="75" bestFit="1" customWidth="1"/>
    <col min="5937" max="6141" width="9.140625" style="75"/>
    <col min="6142" max="6142" width="8" style="75" customWidth="1"/>
    <col min="6143" max="6143" width="7.140625" style="75" customWidth="1"/>
    <col min="6144" max="6144" width="17" style="75" bestFit="1" customWidth="1"/>
    <col min="6145" max="6145" width="20.28515625" style="75" bestFit="1" customWidth="1"/>
    <col min="6146" max="6146" width="2.7109375" style="75" customWidth="1"/>
    <col min="6147" max="6147" width="5.5703125" style="75" customWidth="1"/>
    <col min="6148" max="6148" width="14.42578125" style="75" customWidth="1"/>
    <col min="6149" max="6149" width="18.42578125" style="75" customWidth="1"/>
    <col min="6150" max="6150" width="13" style="75" customWidth="1"/>
    <col min="6151" max="6151" width="16.7109375" style="75" customWidth="1"/>
    <col min="6152" max="6152" width="14.7109375" style="75" customWidth="1"/>
    <col min="6153" max="6153" width="18.42578125" style="75" customWidth="1"/>
    <col min="6154" max="6154" width="16.7109375" style="75" customWidth="1"/>
    <col min="6155" max="6155" width="4.140625" style="75" customWidth="1"/>
    <col min="6156" max="6156" width="7.28515625" style="75" customWidth="1"/>
    <col min="6157" max="6157" width="11.140625" style="75" bestFit="1" customWidth="1"/>
    <col min="6158" max="6158" width="16.5703125" style="75" customWidth="1"/>
    <col min="6159" max="6159" width="16.7109375" style="75" customWidth="1"/>
    <col min="6160" max="6160" width="15.28515625" style="75" customWidth="1"/>
    <col min="6161" max="6161" width="25.5703125" style="75" bestFit="1" customWidth="1"/>
    <col min="6162" max="6162" width="9.42578125" style="75" customWidth="1"/>
    <col min="6163" max="6163" width="6.7109375" style="75" customWidth="1"/>
    <col min="6164" max="6164" width="14.85546875" style="75" customWidth="1"/>
    <col min="6165" max="6165" width="15.7109375" style="75" customWidth="1"/>
    <col min="6166" max="6166" width="14.85546875" style="75" customWidth="1"/>
    <col min="6167" max="6167" width="12.5703125" style="75" bestFit="1" customWidth="1"/>
    <col min="6168" max="6168" width="12.85546875" style="75" customWidth="1"/>
    <col min="6169" max="6169" width="13.7109375" style="75" bestFit="1" customWidth="1"/>
    <col min="6170" max="6170" width="14.28515625" style="75" bestFit="1" customWidth="1"/>
    <col min="6171" max="6171" width="17.28515625" style="75" customWidth="1"/>
    <col min="6172" max="6172" width="13.140625" style="75" bestFit="1" customWidth="1"/>
    <col min="6173" max="6173" width="16.28515625" style="75" bestFit="1" customWidth="1"/>
    <col min="6174" max="6174" width="13.140625" style="75" bestFit="1" customWidth="1"/>
    <col min="6175" max="6177" width="14.7109375" style="75" bestFit="1" customWidth="1"/>
    <col min="6178" max="6178" width="16.28515625" style="75" bestFit="1" customWidth="1"/>
    <col min="6179" max="6179" width="17.7109375" style="75" bestFit="1" customWidth="1"/>
    <col min="6180" max="6181" width="14.7109375" style="75" bestFit="1" customWidth="1"/>
    <col min="6182" max="6182" width="14.7109375" style="75" customWidth="1"/>
    <col min="6183" max="6183" width="27" style="75" customWidth="1"/>
    <col min="6184" max="6185" width="16.28515625" style="75" bestFit="1" customWidth="1"/>
    <col min="6186" max="6186" width="46.28515625" style="75" bestFit="1" customWidth="1"/>
    <col min="6187" max="6187" width="23.85546875" style="75" customWidth="1"/>
    <col min="6188" max="6188" width="17.140625" style="75" bestFit="1" customWidth="1"/>
    <col min="6189" max="6189" width="18.5703125" style="75" bestFit="1" customWidth="1"/>
    <col min="6190" max="6191" width="20.5703125" style="75" customWidth="1"/>
    <col min="6192" max="6192" width="11.42578125" style="75" bestFit="1" customWidth="1"/>
    <col min="6193" max="6397" width="9.140625" style="75"/>
    <col min="6398" max="6398" width="8" style="75" customWidth="1"/>
    <col min="6399" max="6399" width="7.140625" style="75" customWidth="1"/>
    <col min="6400" max="6400" width="17" style="75" bestFit="1" customWidth="1"/>
    <col min="6401" max="6401" width="20.28515625" style="75" bestFit="1" customWidth="1"/>
    <col min="6402" max="6402" width="2.7109375" style="75" customWidth="1"/>
    <col min="6403" max="6403" width="5.5703125" style="75" customWidth="1"/>
    <col min="6404" max="6404" width="14.42578125" style="75" customWidth="1"/>
    <col min="6405" max="6405" width="18.42578125" style="75" customWidth="1"/>
    <col min="6406" max="6406" width="13" style="75" customWidth="1"/>
    <col min="6407" max="6407" width="16.7109375" style="75" customWidth="1"/>
    <col min="6408" max="6408" width="14.7109375" style="75" customWidth="1"/>
    <col min="6409" max="6409" width="18.42578125" style="75" customWidth="1"/>
    <col min="6410" max="6410" width="16.7109375" style="75" customWidth="1"/>
    <col min="6411" max="6411" width="4.140625" style="75" customWidth="1"/>
    <col min="6412" max="6412" width="7.28515625" style="75" customWidth="1"/>
    <col min="6413" max="6413" width="11.140625" style="75" bestFit="1" customWidth="1"/>
    <col min="6414" max="6414" width="16.5703125" style="75" customWidth="1"/>
    <col min="6415" max="6415" width="16.7109375" style="75" customWidth="1"/>
    <col min="6416" max="6416" width="15.28515625" style="75" customWidth="1"/>
    <col min="6417" max="6417" width="25.5703125" style="75" bestFit="1" customWidth="1"/>
    <col min="6418" max="6418" width="9.42578125" style="75" customWidth="1"/>
    <col min="6419" max="6419" width="6.7109375" style="75" customWidth="1"/>
    <col min="6420" max="6420" width="14.85546875" style="75" customWidth="1"/>
    <col min="6421" max="6421" width="15.7109375" style="75" customWidth="1"/>
    <col min="6422" max="6422" width="14.85546875" style="75" customWidth="1"/>
    <col min="6423" max="6423" width="12.5703125" style="75" bestFit="1" customWidth="1"/>
    <col min="6424" max="6424" width="12.85546875" style="75" customWidth="1"/>
    <col min="6425" max="6425" width="13.7109375" style="75" bestFit="1" customWidth="1"/>
    <col min="6426" max="6426" width="14.28515625" style="75" bestFit="1" customWidth="1"/>
    <col min="6427" max="6427" width="17.28515625" style="75" customWidth="1"/>
    <col min="6428" max="6428" width="13.140625" style="75" bestFit="1" customWidth="1"/>
    <col min="6429" max="6429" width="16.28515625" style="75" bestFit="1" customWidth="1"/>
    <col min="6430" max="6430" width="13.140625" style="75" bestFit="1" customWidth="1"/>
    <col min="6431" max="6433" width="14.7109375" style="75" bestFit="1" customWidth="1"/>
    <col min="6434" max="6434" width="16.28515625" style="75" bestFit="1" customWidth="1"/>
    <col min="6435" max="6435" width="17.7109375" style="75" bestFit="1" customWidth="1"/>
    <col min="6436" max="6437" width="14.7109375" style="75" bestFit="1" customWidth="1"/>
    <col min="6438" max="6438" width="14.7109375" style="75" customWidth="1"/>
    <col min="6439" max="6439" width="27" style="75" customWidth="1"/>
    <col min="6440" max="6441" width="16.28515625" style="75" bestFit="1" customWidth="1"/>
    <col min="6442" max="6442" width="46.28515625" style="75" bestFit="1" customWidth="1"/>
    <col min="6443" max="6443" width="23.85546875" style="75" customWidth="1"/>
    <col min="6444" max="6444" width="17.140625" style="75" bestFit="1" customWidth="1"/>
    <col min="6445" max="6445" width="18.5703125" style="75" bestFit="1" customWidth="1"/>
    <col min="6446" max="6447" width="20.5703125" style="75" customWidth="1"/>
    <col min="6448" max="6448" width="11.42578125" style="75" bestFit="1" customWidth="1"/>
    <col min="6449" max="6653" width="9.140625" style="75"/>
    <col min="6654" max="6654" width="8" style="75" customWidth="1"/>
    <col min="6655" max="6655" width="7.140625" style="75" customWidth="1"/>
    <col min="6656" max="6656" width="17" style="75" bestFit="1" customWidth="1"/>
    <col min="6657" max="6657" width="20.28515625" style="75" bestFit="1" customWidth="1"/>
    <col min="6658" max="6658" width="2.7109375" style="75" customWidth="1"/>
    <col min="6659" max="6659" width="5.5703125" style="75" customWidth="1"/>
    <col min="6660" max="6660" width="14.42578125" style="75" customWidth="1"/>
    <col min="6661" max="6661" width="18.42578125" style="75" customWidth="1"/>
    <col min="6662" max="6662" width="13" style="75" customWidth="1"/>
    <col min="6663" max="6663" width="16.7109375" style="75" customWidth="1"/>
    <col min="6664" max="6664" width="14.7109375" style="75" customWidth="1"/>
    <col min="6665" max="6665" width="18.42578125" style="75" customWidth="1"/>
    <col min="6666" max="6666" width="16.7109375" style="75" customWidth="1"/>
    <col min="6667" max="6667" width="4.140625" style="75" customWidth="1"/>
    <col min="6668" max="6668" width="7.28515625" style="75" customWidth="1"/>
    <col min="6669" max="6669" width="11.140625" style="75" bestFit="1" customWidth="1"/>
    <col min="6670" max="6670" width="16.5703125" style="75" customWidth="1"/>
    <col min="6671" max="6671" width="16.7109375" style="75" customWidth="1"/>
    <col min="6672" max="6672" width="15.28515625" style="75" customWidth="1"/>
    <col min="6673" max="6673" width="25.5703125" style="75" bestFit="1" customWidth="1"/>
    <col min="6674" max="6674" width="9.42578125" style="75" customWidth="1"/>
    <col min="6675" max="6675" width="6.7109375" style="75" customWidth="1"/>
    <col min="6676" max="6676" width="14.85546875" style="75" customWidth="1"/>
    <col min="6677" max="6677" width="15.7109375" style="75" customWidth="1"/>
    <col min="6678" max="6678" width="14.85546875" style="75" customWidth="1"/>
    <col min="6679" max="6679" width="12.5703125" style="75" bestFit="1" customWidth="1"/>
    <col min="6680" max="6680" width="12.85546875" style="75" customWidth="1"/>
    <col min="6681" max="6681" width="13.7109375" style="75" bestFit="1" customWidth="1"/>
    <col min="6682" max="6682" width="14.28515625" style="75" bestFit="1" customWidth="1"/>
    <col min="6683" max="6683" width="17.28515625" style="75" customWidth="1"/>
    <col min="6684" max="6684" width="13.140625" style="75" bestFit="1" customWidth="1"/>
    <col min="6685" max="6685" width="16.28515625" style="75" bestFit="1" customWidth="1"/>
    <col min="6686" max="6686" width="13.140625" style="75" bestFit="1" customWidth="1"/>
    <col min="6687" max="6689" width="14.7109375" style="75" bestFit="1" customWidth="1"/>
    <col min="6690" max="6690" width="16.28515625" style="75" bestFit="1" customWidth="1"/>
    <col min="6691" max="6691" width="17.7109375" style="75" bestFit="1" customWidth="1"/>
    <col min="6692" max="6693" width="14.7109375" style="75" bestFit="1" customWidth="1"/>
    <col min="6694" max="6694" width="14.7109375" style="75" customWidth="1"/>
    <col min="6695" max="6695" width="27" style="75" customWidth="1"/>
    <col min="6696" max="6697" width="16.28515625" style="75" bestFit="1" customWidth="1"/>
    <col min="6698" max="6698" width="46.28515625" style="75" bestFit="1" customWidth="1"/>
    <col min="6699" max="6699" width="23.85546875" style="75" customWidth="1"/>
    <col min="6700" max="6700" width="17.140625" style="75" bestFit="1" customWidth="1"/>
    <col min="6701" max="6701" width="18.5703125" style="75" bestFit="1" customWidth="1"/>
    <col min="6702" max="6703" width="20.5703125" style="75" customWidth="1"/>
    <col min="6704" max="6704" width="11.42578125" style="75" bestFit="1" customWidth="1"/>
    <col min="6705" max="6909" width="9.140625" style="75"/>
    <col min="6910" max="6910" width="8" style="75" customWidth="1"/>
    <col min="6911" max="6911" width="7.140625" style="75" customWidth="1"/>
    <col min="6912" max="6912" width="17" style="75" bestFit="1" customWidth="1"/>
    <col min="6913" max="6913" width="20.28515625" style="75" bestFit="1" customWidth="1"/>
    <col min="6914" max="6914" width="2.7109375" style="75" customWidth="1"/>
    <col min="6915" max="6915" width="5.5703125" style="75" customWidth="1"/>
    <col min="6916" max="6916" width="14.42578125" style="75" customWidth="1"/>
    <col min="6917" max="6917" width="18.42578125" style="75" customWidth="1"/>
    <col min="6918" max="6918" width="13" style="75" customWidth="1"/>
    <col min="6919" max="6919" width="16.7109375" style="75" customWidth="1"/>
    <col min="6920" max="6920" width="14.7109375" style="75" customWidth="1"/>
    <col min="6921" max="6921" width="18.42578125" style="75" customWidth="1"/>
    <col min="6922" max="6922" width="16.7109375" style="75" customWidth="1"/>
    <col min="6923" max="6923" width="4.140625" style="75" customWidth="1"/>
    <col min="6924" max="6924" width="7.28515625" style="75" customWidth="1"/>
    <col min="6925" max="6925" width="11.140625" style="75" bestFit="1" customWidth="1"/>
    <col min="6926" max="6926" width="16.5703125" style="75" customWidth="1"/>
    <col min="6927" max="6927" width="16.7109375" style="75" customWidth="1"/>
    <col min="6928" max="6928" width="15.28515625" style="75" customWidth="1"/>
    <col min="6929" max="6929" width="25.5703125" style="75" bestFit="1" customWidth="1"/>
    <col min="6930" max="6930" width="9.42578125" style="75" customWidth="1"/>
    <col min="6931" max="6931" width="6.7109375" style="75" customWidth="1"/>
    <col min="6932" max="6932" width="14.85546875" style="75" customWidth="1"/>
    <col min="6933" max="6933" width="15.7109375" style="75" customWidth="1"/>
    <col min="6934" max="6934" width="14.85546875" style="75" customWidth="1"/>
    <col min="6935" max="6935" width="12.5703125" style="75" bestFit="1" customWidth="1"/>
    <col min="6936" max="6936" width="12.85546875" style="75" customWidth="1"/>
    <col min="6937" max="6937" width="13.7109375" style="75" bestFit="1" customWidth="1"/>
    <col min="6938" max="6938" width="14.28515625" style="75" bestFit="1" customWidth="1"/>
    <col min="6939" max="6939" width="17.28515625" style="75" customWidth="1"/>
    <col min="6940" max="6940" width="13.140625" style="75" bestFit="1" customWidth="1"/>
    <col min="6941" max="6941" width="16.28515625" style="75" bestFit="1" customWidth="1"/>
    <col min="6942" max="6942" width="13.140625" style="75" bestFit="1" customWidth="1"/>
    <col min="6943" max="6945" width="14.7109375" style="75" bestFit="1" customWidth="1"/>
    <col min="6946" max="6946" width="16.28515625" style="75" bestFit="1" customWidth="1"/>
    <col min="6947" max="6947" width="17.7109375" style="75" bestFit="1" customWidth="1"/>
    <col min="6948" max="6949" width="14.7109375" style="75" bestFit="1" customWidth="1"/>
    <col min="6950" max="6950" width="14.7109375" style="75" customWidth="1"/>
    <col min="6951" max="6951" width="27" style="75" customWidth="1"/>
    <col min="6952" max="6953" width="16.28515625" style="75" bestFit="1" customWidth="1"/>
    <col min="6954" max="6954" width="46.28515625" style="75" bestFit="1" customWidth="1"/>
    <col min="6955" max="6955" width="23.85546875" style="75" customWidth="1"/>
    <col min="6956" max="6956" width="17.140625" style="75" bestFit="1" customWidth="1"/>
    <col min="6957" max="6957" width="18.5703125" style="75" bestFit="1" customWidth="1"/>
    <col min="6958" max="6959" width="20.5703125" style="75" customWidth="1"/>
    <col min="6960" max="6960" width="11.42578125" style="75" bestFit="1" customWidth="1"/>
    <col min="6961" max="7165" width="9.140625" style="75"/>
    <col min="7166" max="7166" width="8" style="75" customWidth="1"/>
    <col min="7167" max="7167" width="7.140625" style="75" customWidth="1"/>
    <col min="7168" max="7168" width="17" style="75" bestFit="1" customWidth="1"/>
    <col min="7169" max="7169" width="20.28515625" style="75" bestFit="1" customWidth="1"/>
    <col min="7170" max="7170" width="2.7109375" style="75" customWidth="1"/>
    <col min="7171" max="7171" width="5.5703125" style="75" customWidth="1"/>
    <col min="7172" max="7172" width="14.42578125" style="75" customWidth="1"/>
    <col min="7173" max="7173" width="18.42578125" style="75" customWidth="1"/>
    <col min="7174" max="7174" width="13" style="75" customWidth="1"/>
    <col min="7175" max="7175" width="16.7109375" style="75" customWidth="1"/>
    <col min="7176" max="7176" width="14.7109375" style="75" customWidth="1"/>
    <col min="7177" max="7177" width="18.42578125" style="75" customWidth="1"/>
    <col min="7178" max="7178" width="16.7109375" style="75" customWidth="1"/>
    <col min="7179" max="7179" width="4.140625" style="75" customWidth="1"/>
    <col min="7180" max="7180" width="7.28515625" style="75" customWidth="1"/>
    <col min="7181" max="7181" width="11.140625" style="75" bestFit="1" customWidth="1"/>
    <col min="7182" max="7182" width="16.5703125" style="75" customWidth="1"/>
    <col min="7183" max="7183" width="16.7109375" style="75" customWidth="1"/>
    <col min="7184" max="7184" width="15.28515625" style="75" customWidth="1"/>
    <col min="7185" max="7185" width="25.5703125" style="75" bestFit="1" customWidth="1"/>
    <col min="7186" max="7186" width="9.42578125" style="75" customWidth="1"/>
    <col min="7187" max="7187" width="6.7109375" style="75" customWidth="1"/>
    <col min="7188" max="7188" width="14.85546875" style="75" customWidth="1"/>
    <col min="7189" max="7189" width="15.7109375" style="75" customWidth="1"/>
    <col min="7190" max="7190" width="14.85546875" style="75" customWidth="1"/>
    <col min="7191" max="7191" width="12.5703125" style="75" bestFit="1" customWidth="1"/>
    <col min="7192" max="7192" width="12.85546875" style="75" customWidth="1"/>
    <col min="7193" max="7193" width="13.7109375" style="75" bestFit="1" customWidth="1"/>
    <col min="7194" max="7194" width="14.28515625" style="75" bestFit="1" customWidth="1"/>
    <col min="7195" max="7195" width="17.28515625" style="75" customWidth="1"/>
    <col min="7196" max="7196" width="13.140625" style="75" bestFit="1" customWidth="1"/>
    <col min="7197" max="7197" width="16.28515625" style="75" bestFit="1" customWidth="1"/>
    <col min="7198" max="7198" width="13.140625" style="75" bestFit="1" customWidth="1"/>
    <col min="7199" max="7201" width="14.7109375" style="75" bestFit="1" customWidth="1"/>
    <col min="7202" max="7202" width="16.28515625" style="75" bestFit="1" customWidth="1"/>
    <col min="7203" max="7203" width="17.7109375" style="75" bestFit="1" customWidth="1"/>
    <col min="7204" max="7205" width="14.7109375" style="75" bestFit="1" customWidth="1"/>
    <col min="7206" max="7206" width="14.7109375" style="75" customWidth="1"/>
    <col min="7207" max="7207" width="27" style="75" customWidth="1"/>
    <col min="7208" max="7209" width="16.28515625" style="75" bestFit="1" customWidth="1"/>
    <col min="7210" max="7210" width="46.28515625" style="75" bestFit="1" customWidth="1"/>
    <col min="7211" max="7211" width="23.85546875" style="75" customWidth="1"/>
    <col min="7212" max="7212" width="17.140625" style="75" bestFit="1" customWidth="1"/>
    <col min="7213" max="7213" width="18.5703125" style="75" bestFit="1" customWidth="1"/>
    <col min="7214" max="7215" width="20.5703125" style="75" customWidth="1"/>
    <col min="7216" max="7216" width="11.42578125" style="75" bestFit="1" customWidth="1"/>
    <col min="7217" max="7421" width="9.140625" style="75"/>
    <col min="7422" max="7422" width="8" style="75" customWidth="1"/>
    <col min="7423" max="7423" width="7.140625" style="75" customWidth="1"/>
    <col min="7424" max="7424" width="17" style="75" bestFit="1" customWidth="1"/>
    <col min="7425" max="7425" width="20.28515625" style="75" bestFit="1" customWidth="1"/>
    <col min="7426" max="7426" width="2.7109375" style="75" customWidth="1"/>
    <col min="7427" max="7427" width="5.5703125" style="75" customWidth="1"/>
    <col min="7428" max="7428" width="14.42578125" style="75" customWidth="1"/>
    <col min="7429" max="7429" width="18.42578125" style="75" customWidth="1"/>
    <col min="7430" max="7430" width="13" style="75" customWidth="1"/>
    <col min="7431" max="7431" width="16.7109375" style="75" customWidth="1"/>
    <col min="7432" max="7432" width="14.7109375" style="75" customWidth="1"/>
    <col min="7433" max="7433" width="18.42578125" style="75" customWidth="1"/>
    <col min="7434" max="7434" width="16.7109375" style="75" customWidth="1"/>
    <col min="7435" max="7435" width="4.140625" style="75" customWidth="1"/>
    <col min="7436" max="7436" width="7.28515625" style="75" customWidth="1"/>
    <col min="7437" max="7437" width="11.140625" style="75" bestFit="1" customWidth="1"/>
    <col min="7438" max="7438" width="16.5703125" style="75" customWidth="1"/>
    <col min="7439" max="7439" width="16.7109375" style="75" customWidth="1"/>
    <col min="7440" max="7440" width="15.28515625" style="75" customWidth="1"/>
    <col min="7441" max="7441" width="25.5703125" style="75" bestFit="1" customWidth="1"/>
    <col min="7442" max="7442" width="9.42578125" style="75" customWidth="1"/>
    <col min="7443" max="7443" width="6.7109375" style="75" customWidth="1"/>
    <col min="7444" max="7444" width="14.85546875" style="75" customWidth="1"/>
    <col min="7445" max="7445" width="15.7109375" style="75" customWidth="1"/>
    <col min="7446" max="7446" width="14.85546875" style="75" customWidth="1"/>
    <col min="7447" max="7447" width="12.5703125" style="75" bestFit="1" customWidth="1"/>
    <col min="7448" max="7448" width="12.85546875" style="75" customWidth="1"/>
    <col min="7449" max="7449" width="13.7109375" style="75" bestFit="1" customWidth="1"/>
    <col min="7450" max="7450" width="14.28515625" style="75" bestFit="1" customWidth="1"/>
    <col min="7451" max="7451" width="17.28515625" style="75" customWidth="1"/>
    <col min="7452" max="7452" width="13.140625" style="75" bestFit="1" customWidth="1"/>
    <col min="7453" max="7453" width="16.28515625" style="75" bestFit="1" customWidth="1"/>
    <col min="7454" max="7454" width="13.140625" style="75" bestFit="1" customWidth="1"/>
    <col min="7455" max="7457" width="14.7109375" style="75" bestFit="1" customWidth="1"/>
    <col min="7458" max="7458" width="16.28515625" style="75" bestFit="1" customWidth="1"/>
    <col min="7459" max="7459" width="17.7109375" style="75" bestFit="1" customWidth="1"/>
    <col min="7460" max="7461" width="14.7109375" style="75" bestFit="1" customWidth="1"/>
    <col min="7462" max="7462" width="14.7109375" style="75" customWidth="1"/>
    <col min="7463" max="7463" width="27" style="75" customWidth="1"/>
    <col min="7464" max="7465" width="16.28515625" style="75" bestFit="1" customWidth="1"/>
    <col min="7466" max="7466" width="46.28515625" style="75" bestFit="1" customWidth="1"/>
    <col min="7467" max="7467" width="23.85546875" style="75" customWidth="1"/>
    <col min="7468" max="7468" width="17.140625" style="75" bestFit="1" customWidth="1"/>
    <col min="7469" max="7469" width="18.5703125" style="75" bestFit="1" customWidth="1"/>
    <col min="7470" max="7471" width="20.5703125" style="75" customWidth="1"/>
    <col min="7472" max="7472" width="11.42578125" style="75" bestFit="1" customWidth="1"/>
    <col min="7473" max="7677" width="9.140625" style="75"/>
    <col min="7678" max="7678" width="8" style="75" customWidth="1"/>
    <col min="7679" max="7679" width="7.140625" style="75" customWidth="1"/>
    <col min="7680" max="7680" width="17" style="75" bestFit="1" customWidth="1"/>
    <col min="7681" max="7681" width="20.28515625" style="75" bestFit="1" customWidth="1"/>
    <col min="7682" max="7682" width="2.7109375" style="75" customWidth="1"/>
    <col min="7683" max="7683" width="5.5703125" style="75" customWidth="1"/>
    <col min="7684" max="7684" width="14.42578125" style="75" customWidth="1"/>
    <col min="7685" max="7685" width="18.42578125" style="75" customWidth="1"/>
    <col min="7686" max="7686" width="13" style="75" customWidth="1"/>
    <col min="7687" max="7687" width="16.7109375" style="75" customWidth="1"/>
    <col min="7688" max="7688" width="14.7109375" style="75" customWidth="1"/>
    <col min="7689" max="7689" width="18.42578125" style="75" customWidth="1"/>
    <col min="7690" max="7690" width="16.7109375" style="75" customWidth="1"/>
    <col min="7691" max="7691" width="4.140625" style="75" customWidth="1"/>
    <col min="7692" max="7692" width="7.28515625" style="75" customWidth="1"/>
    <col min="7693" max="7693" width="11.140625" style="75" bestFit="1" customWidth="1"/>
    <col min="7694" max="7694" width="16.5703125" style="75" customWidth="1"/>
    <col min="7695" max="7695" width="16.7109375" style="75" customWidth="1"/>
    <col min="7696" max="7696" width="15.28515625" style="75" customWidth="1"/>
    <col min="7697" max="7697" width="25.5703125" style="75" bestFit="1" customWidth="1"/>
    <col min="7698" max="7698" width="9.42578125" style="75" customWidth="1"/>
    <col min="7699" max="7699" width="6.7109375" style="75" customWidth="1"/>
    <col min="7700" max="7700" width="14.85546875" style="75" customWidth="1"/>
    <col min="7701" max="7701" width="15.7109375" style="75" customWidth="1"/>
    <col min="7702" max="7702" width="14.85546875" style="75" customWidth="1"/>
    <col min="7703" max="7703" width="12.5703125" style="75" bestFit="1" customWidth="1"/>
    <col min="7704" max="7704" width="12.85546875" style="75" customWidth="1"/>
    <col min="7705" max="7705" width="13.7109375" style="75" bestFit="1" customWidth="1"/>
    <col min="7706" max="7706" width="14.28515625" style="75" bestFit="1" customWidth="1"/>
    <col min="7707" max="7707" width="17.28515625" style="75" customWidth="1"/>
    <col min="7708" max="7708" width="13.140625" style="75" bestFit="1" customWidth="1"/>
    <col min="7709" max="7709" width="16.28515625" style="75" bestFit="1" customWidth="1"/>
    <col min="7710" max="7710" width="13.140625" style="75" bestFit="1" customWidth="1"/>
    <col min="7711" max="7713" width="14.7109375" style="75" bestFit="1" customWidth="1"/>
    <col min="7714" max="7714" width="16.28515625" style="75" bestFit="1" customWidth="1"/>
    <col min="7715" max="7715" width="17.7109375" style="75" bestFit="1" customWidth="1"/>
    <col min="7716" max="7717" width="14.7109375" style="75" bestFit="1" customWidth="1"/>
    <col min="7718" max="7718" width="14.7109375" style="75" customWidth="1"/>
    <col min="7719" max="7719" width="27" style="75" customWidth="1"/>
    <col min="7720" max="7721" width="16.28515625" style="75" bestFit="1" customWidth="1"/>
    <col min="7722" max="7722" width="46.28515625" style="75" bestFit="1" customWidth="1"/>
    <col min="7723" max="7723" width="23.85546875" style="75" customWidth="1"/>
    <col min="7724" max="7724" width="17.140625" style="75" bestFit="1" customWidth="1"/>
    <col min="7725" max="7725" width="18.5703125" style="75" bestFit="1" customWidth="1"/>
    <col min="7726" max="7727" width="20.5703125" style="75" customWidth="1"/>
    <col min="7728" max="7728" width="11.42578125" style="75" bestFit="1" customWidth="1"/>
    <col min="7729" max="7933" width="9.140625" style="75"/>
    <col min="7934" max="7934" width="8" style="75" customWidth="1"/>
    <col min="7935" max="7935" width="7.140625" style="75" customWidth="1"/>
    <col min="7936" max="7936" width="17" style="75" bestFit="1" customWidth="1"/>
    <col min="7937" max="7937" width="20.28515625" style="75" bestFit="1" customWidth="1"/>
    <col min="7938" max="7938" width="2.7109375" style="75" customWidth="1"/>
    <col min="7939" max="7939" width="5.5703125" style="75" customWidth="1"/>
    <col min="7940" max="7940" width="14.42578125" style="75" customWidth="1"/>
    <col min="7941" max="7941" width="18.42578125" style="75" customWidth="1"/>
    <col min="7942" max="7942" width="13" style="75" customWidth="1"/>
    <col min="7943" max="7943" width="16.7109375" style="75" customWidth="1"/>
    <col min="7944" max="7944" width="14.7109375" style="75" customWidth="1"/>
    <col min="7945" max="7945" width="18.42578125" style="75" customWidth="1"/>
    <col min="7946" max="7946" width="16.7109375" style="75" customWidth="1"/>
    <col min="7947" max="7947" width="4.140625" style="75" customWidth="1"/>
    <col min="7948" max="7948" width="7.28515625" style="75" customWidth="1"/>
    <col min="7949" max="7949" width="11.140625" style="75" bestFit="1" customWidth="1"/>
    <col min="7950" max="7950" width="16.5703125" style="75" customWidth="1"/>
    <col min="7951" max="7951" width="16.7109375" style="75" customWidth="1"/>
    <col min="7952" max="7952" width="15.28515625" style="75" customWidth="1"/>
    <col min="7953" max="7953" width="25.5703125" style="75" bestFit="1" customWidth="1"/>
    <col min="7954" max="7954" width="9.42578125" style="75" customWidth="1"/>
    <col min="7955" max="7955" width="6.7109375" style="75" customWidth="1"/>
    <col min="7956" max="7956" width="14.85546875" style="75" customWidth="1"/>
    <col min="7957" max="7957" width="15.7109375" style="75" customWidth="1"/>
    <col min="7958" max="7958" width="14.85546875" style="75" customWidth="1"/>
    <col min="7959" max="7959" width="12.5703125" style="75" bestFit="1" customWidth="1"/>
    <col min="7960" max="7960" width="12.85546875" style="75" customWidth="1"/>
    <col min="7961" max="7961" width="13.7109375" style="75" bestFit="1" customWidth="1"/>
    <col min="7962" max="7962" width="14.28515625" style="75" bestFit="1" customWidth="1"/>
    <col min="7963" max="7963" width="17.28515625" style="75" customWidth="1"/>
    <col min="7964" max="7964" width="13.140625" style="75" bestFit="1" customWidth="1"/>
    <col min="7965" max="7965" width="16.28515625" style="75" bestFit="1" customWidth="1"/>
    <col min="7966" max="7966" width="13.140625" style="75" bestFit="1" customWidth="1"/>
    <col min="7967" max="7969" width="14.7109375" style="75" bestFit="1" customWidth="1"/>
    <col min="7970" max="7970" width="16.28515625" style="75" bestFit="1" customWidth="1"/>
    <col min="7971" max="7971" width="17.7109375" style="75" bestFit="1" customWidth="1"/>
    <col min="7972" max="7973" width="14.7109375" style="75" bestFit="1" customWidth="1"/>
    <col min="7974" max="7974" width="14.7109375" style="75" customWidth="1"/>
    <col min="7975" max="7975" width="27" style="75" customWidth="1"/>
    <col min="7976" max="7977" width="16.28515625" style="75" bestFit="1" customWidth="1"/>
    <col min="7978" max="7978" width="46.28515625" style="75" bestFit="1" customWidth="1"/>
    <col min="7979" max="7979" width="23.85546875" style="75" customWidth="1"/>
    <col min="7980" max="7980" width="17.140625" style="75" bestFit="1" customWidth="1"/>
    <col min="7981" max="7981" width="18.5703125" style="75" bestFit="1" customWidth="1"/>
    <col min="7982" max="7983" width="20.5703125" style="75" customWidth="1"/>
    <col min="7984" max="7984" width="11.42578125" style="75" bestFit="1" customWidth="1"/>
    <col min="7985" max="8189" width="9.140625" style="75"/>
    <col min="8190" max="8190" width="8" style="75" customWidth="1"/>
    <col min="8191" max="8191" width="7.140625" style="75" customWidth="1"/>
    <col min="8192" max="8192" width="17" style="75" bestFit="1" customWidth="1"/>
    <col min="8193" max="8193" width="20.28515625" style="75" bestFit="1" customWidth="1"/>
    <col min="8194" max="8194" width="2.7109375" style="75" customWidth="1"/>
    <col min="8195" max="8195" width="5.5703125" style="75" customWidth="1"/>
    <col min="8196" max="8196" width="14.42578125" style="75" customWidth="1"/>
    <col min="8197" max="8197" width="18.42578125" style="75" customWidth="1"/>
    <col min="8198" max="8198" width="13" style="75" customWidth="1"/>
    <col min="8199" max="8199" width="16.7109375" style="75" customWidth="1"/>
    <col min="8200" max="8200" width="14.7109375" style="75" customWidth="1"/>
    <col min="8201" max="8201" width="18.42578125" style="75" customWidth="1"/>
    <col min="8202" max="8202" width="16.7109375" style="75" customWidth="1"/>
    <col min="8203" max="8203" width="4.140625" style="75" customWidth="1"/>
    <col min="8204" max="8204" width="7.28515625" style="75" customWidth="1"/>
    <col min="8205" max="8205" width="11.140625" style="75" bestFit="1" customWidth="1"/>
    <col min="8206" max="8206" width="16.5703125" style="75" customWidth="1"/>
    <col min="8207" max="8207" width="16.7109375" style="75" customWidth="1"/>
    <col min="8208" max="8208" width="15.28515625" style="75" customWidth="1"/>
    <col min="8209" max="8209" width="25.5703125" style="75" bestFit="1" customWidth="1"/>
    <col min="8210" max="8210" width="9.42578125" style="75" customWidth="1"/>
    <col min="8211" max="8211" width="6.7109375" style="75" customWidth="1"/>
    <col min="8212" max="8212" width="14.85546875" style="75" customWidth="1"/>
    <col min="8213" max="8213" width="15.7109375" style="75" customWidth="1"/>
    <col min="8214" max="8214" width="14.85546875" style="75" customWidth="1"/>
    <col min="8215" max="8215" width="12.5703125" style="75" bestFit="1" customWidth="1"/>
    <col min="8216" max="8216" width="12.85546875" style="75" customWidth="1"/>
    <col min="8217" max="8217" width="13.7109375" style="75" bestFit="1" customWidth="1"/>
    <col min="8218" max="8218" width="14.28515625" style="75" bestFit="1" customWidth="1"/>
    <col min="8219" max="8219" width="17.28515625" style="75" customWidth="1"/>
    <col min="8220" max="8220" width="13.140625" style="75" bestFit="1" customWidth="1"/>
    <col min="8221" max="8221" width="16.28515625" style="75" bestFit="1" customWidth="1"/>
    <col min="8222" max="8222" width="13.140625" style="75" bestFit="1" customWidth="1"/>
    <col min="8223" max="8225" width="14.7109375" style="75" bestFit="1" customWidth="1"/>
    <col min="8226" max="8226" width="16.28515625" style="75" bestFit="1" customWidth="1"/>
    <col min="8227" max="8227" width="17.7109375" style="75" bestFit="1" customWidth="1"/>
    <col min="8228" max="8229" width="14.7109375" style="75" bestFit="1" customWidth="1"/>
    <col min="8230" max="8230" width="14.7109375" style="75" customWidth="1"/>
    <col min="8231" max="8231" width="27" style="75" customWidth="1"/>
    <col min="8232" max="8233" width="16.28515625" style="75" bestFit="1" customWidth="1"/>
    <col min="8234" max="8234" width="46.28515625" style="75" bestFit="1" customWidth="1"/>
    <col min="8235" max="8235" width="23.85546875" style="75" customWidth="1"/>
    <col min="8236" max="8236" width="17.140625" style="75" bestFit="1" customWidth="1"/>
    <col min="8237" max="8237" width="18.5703125" style="75" bestFit="1" customWidth="1"/>
    <col min="8238" max="8239" width="20.5703125" style="75" customWidth="1"/>
    <col min="8240" max="8240" width="11.42578125" style="75" bestFit="1" customWidth="1"/>
    <col min="8241" max="8445" width="9.140625" style="75"/>
    <col min="8446" max="8446" width="8" style="75" customWidth="1"/>
    <col min="8447" max="8447" width="7.140625" style="75" customWidth="1"/>
    <col min="8448" max="8448" width="17" style="75" bestFit="1" customWidth="1"/>
    <col min="8449" max="8449" width="20.28515625" style="75" bestFit="1" customWidth="1"/>
    <col min="8450" max="8450" width="2.7109375" style="75" customWidth="1"/>
    <col min="8451" max="8451" width="5.5703125" style="75" customWidth="1"/>
    <col min="8452" max="8452" width="14.42578125" style="75" customWidth="1"/>
    <col min="8453" max="8453" width="18.42578125" style="75" customWidth="1"/>
    <col min="8454" max="8454" width="13" style="75" customWidth="1"/>
    <col min="8455" max="8455" width="16.7109375" style="75" customWidth="1"/>
    <col min="8456" max="8456" width="14.7109375" style="75" customWidth="1"/>
    <col min="8457" max="8457" width="18.42578125" style="75" customWidth="1"/>
    <col min="8458" max="8458" width="16.7109375" style="75" customWidth="1"/>
    <col min="8459" max="8459" width="4.140625" style="75" customWidth="1"/>
    <col min="8460" max="8460" width="7.28515625" style="75" customWidth="1"/>
    <col min="8461" max="8461" width="11.140625" style="75" bestFit="1" customWidth="1"/>
    <col min="8462" max="8462" width="16.5703125" style="75" customWidth="1"/>
    <col min="8463" max="8463" width="16.7109375" style="75" customWidth="1"/>
    <col min="8464" max="8464" width="15.28515625" style="75" customWidth="1"/>
    <col min="8465" max="8465" width="25.5703125" style="75" bestFit="1" customWidth="1"/>
    <col min="8466" max="8466" width="9.42578125" style="75" customWidth="1"/>
    <col min="8467" max="8467" width="6.7109375" style="75" customWidth="1"/>
    <col min="8468" max="8468" width="14.85546875" style="75" customWidth="1"/>
    <col min="8469" max="8469" width="15.7109375" style="75" customWidth="1"/>
    <col min="8470" max="8470" width="14.85546875" style="75" customWidth="1"/>
    <col min="8471" max="8471" width="12.5703125" style="75" bestFit="1" customWidth="1"/>
    <col min="8472" max="8472" width="12.85546875" style="75" customWidth="1"/>
    <col min="8473" max="8473" width="13.7109375" style="75" bestFit="1" customWidth="1"/>
    <col min="8474" max="8474" width="14.28515625" style="75" bestFit="1" customWidth="1"/>
    <col min="8475" max="8475" width="17.28515625" style="75" customWidth="1"/>
    <col min="8476" max="8476" width="13.140625" style="75" bestFit="1" customWidth="1"/>
    <col min="8477" max="8477" width="16.28515625" style="75" bestFit="1" customWidth="1"/>
    <col min="8478" max="8478" width="13.140625" style="75" bestFit="1" customWidth="1"/>
    <col min="8479" max="8481" width="14.7109375" style="75" bestFit="1" customWidth="1"/>
    <col min="8482" max="8482" width="16.28515625" style="75" bestFit="1" customWidth="1"/>
    <col min="8483" max="8483" width="17.7109375" style="75" bestFit="1" customWidth="1"/>
    <col min="8484" max="8485" width="14.7109375" style="75" bestFit="1" customWidth="1"/>
    <col min="8486" max="8486" width="14.7109375" style="75" customWidth="1"/>
    <col min="8487" max="8487" width="27" style="75" customWidth="1"/>
    <col min="8488" max="8489" width="16.28515625" style="75" bestFit="1" customWidth="1"/>
    <col min="8490" max="8490" width="46.28515625" style="75" bestFit="1" customWidth="1"/>
    <col min="8491" max="8491" width="23.85546875" style="75" customWidth="1"/>
    <col min="8492" max="8492" width="17.140625" style="75" bestFit="1" customWidth="1"/>
    <col min="8493" max="8493" width="18.5703125" style="75" bestFit="1" customWidth="1"/>
    <col min="8494" max="8495" width="20.5703125" style="75" customWidth="1"/>
    <col min="8496" max="8496" width="11.42578125" style="75" bestFit="1" customWidth="1"/>
    <col min="8497" max="8701" width="9.140625" style="75"/>
    <col min="8702" max="8702" width="8" style="75" customWidth="1"/>
    <col min="8703" max="8703" width="7.140625" style="75" customWidth="1"/>
    <col min="8704" max="8704" width="17" style="75" bestFit="1" customWidth="1"/>
    <col min="8705" max="8705" width="20.28515625" style="75" bestFit="1" customWidth="1"/>
    <col min="8706" max="8706" width="2.7109375" style="75" customWidth="1"/>
    <col min="8707" max="8707" width="5.5703125" style="75" customWidth="1"/>
    <col min="8708" max="8708" width="14.42578125" style="75" customWidth="1"/>
    <col min="8709" max="8709" width="18.42578125" style="75" customWidth="1"/>
    <col min="8710" max="8710" width="13" style="75" customWidth="1"/>
    <col min="8711" max="8711" width="16.7109375" style="75" customWidth="1"/>
    <col min="8712" max="8712" width="14.7109375" style="75" customWidth="1"/>
    <col min="8713" max="8713" width="18.42578125" style="75" customWidth="1"/>
    <col min="8714" max="8714" width="16.7109375" style="75" customWidth="1"/>
    <col min="8715" max="8715" width="4.140625" style="75" customWidth="1"/>
    <col min="8716" max="8716" width="7.28515625" style="75" customWidth="1"/>
    <col min="8717" max="8717" width="11.140625" style="75" bestFit="1" customWidth="1"/>
    <col min="8718" max="8718" width="16.5703125" style="75" customWidth="1"/>
    <col min="8719" max="8719" width="16.7109375" style="75" customWidth="1"/>
    <col min="8720" max="8720" width="15.28515625" style="75" customWidth="1"/>
    <col min="8721" max="8721" width="25.5703125" style="75" bestFit="1" customWidth="1"/>
    <col min="8722" max="8722" width="9.42578125" style="75" customWidth="1"/>
    <col min="8723" max="8723" width="6.7109375" style="75" customWidth="1"/>
    <col min="8724" max="8724" width="14.85546875" style="75" customWidth="1"/>
    <col min="8725" max="8725" width="15.7109375" style="75" customWidth="1"/>
    <col min="8726" max="8726" width="14.85546875" style="75" customWidth="1"/>
    <col min="8727" max="8727" width="12.5703125" style="75" bestFit="1" customWidth="1"/>
    <col min="8728" max="8728" width="12.85546875" style="75" customWidth="1"/>
    <col min="8729" max="8729" width="13.7109375" style="75" bestFit="1" customWidth="1"/>
    <col min="8730" max="8730" width="14.28515625" style="75" bestFit="1" customWidth="1"/>
    <col min="8731" max="8731" width="17.28515625" style="75" customWidth="1"/>
    <col min="8732" max="8732" width="13.140625" style="75" bestFit="1" customWidth="1"/>
    <col min="8733" max="8733" width="16.28515625" style="75" bestFit="1" customWidth="1"/>
    <col min="8734" max="8734" width="13.140625" style="75" bestFit="1" customWidth="1"/>
    <col min="8735" max="8737" width="14.7109375" style="75" bestFit="1" customWidth="1"/>
    <col min="8738" max="8738" width="16.28515625" style="75" bestFit="1" customWidth="1"/>
    <col min="8739" max="8739" width="17.7109375" style="75" bestFit="1" customWidth="1"/>
    <col min="8740" max="8741" width="14.7109375" style="75" bestFit="1" customWidth="1"/>
    <col min="8742" max="8742" width="14.7109375" style="75" customWidth="1"/>
    <col min="8743" max="8743" width="27" style="75" customWidth="1"/>
    <col min="8744" max="8745" width="16.28515625" style="75" bestFit="1" customWidth="1"/>
    <col min="8746" max="8746" width="46.28515625" style="75" bestFit="1" customWidth="1"/>
    <col min="8747" max="8747" width="23.85546875" style="75" customWidth="1"/>
    <col min="8748" max="8748" width="17.140625" style="75" bestFit="1" customWidth="1"/>
    <col min="8749" max="8749" width="18.5703125" style="75" bestFit="1" customWidth="1"/>
    <col min="8750" max="8751" width="20.5703125" style="75" customWidth="1"/>
    <col min="8752" max="8752" width="11.42578125" style="75" bestFit="1" customWidth="1"/>
    <col min="8753" max="8957" width="9.140625" style="75"/>
    <col min="8958" max="8958" width="8" style="75" customWidth="1"/>
    <col min="8959" max="8959" width="7.140625" style="75" customWidth="1"/>
    <col min="8960" max="8960" width="17" style="75" bestFit="1" customWidth="1"/>
    <col min="8961" max="8961" width="20.28515625" style="75" bestFit="1" customWidth="1"/>
    <col min="8962" max="8962" width="2.7109375" style="75" customWidth="1"/>
    <col min="8963" max="8963" width="5.5703125" style="75" customWidth="1"/>
    <col min="8964" max="8964" width="14.42578125" style="75" customWidth="1"/>
    <col min="8965" max="8965" width="18.42578125" style="75" customWidth="1"/>
    <col min="8966" max="8966" width="13" style="75" customWidth="1"/>
    <col min="8967" max="8967" width="16.7109375" style="75" customWidth="1"/>
    <col min="8968" max="8968" width="14.7109375" style="75" customWidth="1"/>
    <col min="8969" max="8969" width="18.42578125" style="75" customWidth="1"/>
    <col min="8970" max="8970" width="16.7109375" style="75" customWidth="1"/>
    <col min="8971" max="8971" width="4.140625" style="75" customWidth="1"/>
    <col min="8972" max="8972" width="7.28515625" style="75" customWidth="1"/>
    <col min="8973" max="8973" width="11.140625" style="75" bestFit="1" customWidth="1"/>
    <col min="8974" max="8974" width="16.5703125" style="75" customWidth="1"/>
    <col min="8975" max="8975" width="16.7109375" style="75" customWidth="1"/>
    <col min="8976" max="8976" width="15.28515625" style="75" customWidth="1"/>
    <col min="8977" max="8977" width="25.5703125" style="75" bestFit="1" customWidth="1"/>
    <col min="8978" max="8978" width="9.42578125" style="75" customWidth="1"/>
    <col min="8979" max="8979" width="6.7109375" style="75" customWidth="1"/>
    <col min="8980" max="8980" width="14.85546875" style="75" customWidth="1"/>
    <col min="8981" max="8981" width="15.7109375" style="75" customWidth="1"/>
    <col min="8982" max="8982" width="14.85546875" style="75" customWidth="1"/>
    <col min="8983" max="8983" width="12.5703125" style="75" bestFit="1" customWidth="1"/>
    <col min="8984" max="8984" width="12.85546875" style="75" customWidth="1"/>
    <col min="8985" max="8985" width="13.7109375" style="75" bestFit="1" customWidth="1"/>
    <col min="8986" max="8986" width="14.28515625" style="75" bestFit="1" customWidth="1"/>
    <col min="8987" max="8987" width="17.28515625" style="75" customWidth="1"/>
    <col min="8988" max="8988" width="13.140625" style="75" bestFit="1" customWidth="1"/>
    <col min="8989" max="8989" width="16.28515625" style="75" bestFit="1" customWidth="1"/>
    <col min="8990" max="8990" width="13.140625" style="75" bestFit="1" customWidth="1"/>
    <col min="8991" max="8993" width="14.7109375" style="75" bestFit="1" customWidth="1"/>
    <col min="8994" max="8994" width="16.28515625" style="75" bestFit="1" customWidth="1"/>
    <col min="8995" max="8995" width="17.7109375" style="75" bestFit="1" customWidth="1"/>
    <col min="8996" max="8997" width="14.7109375" style="75" bestFit="1" customWidth="1"/>
    <col min="8998" max="8998" width="14.7109375" style="75" customWidth="1"/>
    <col min="8999" max="8999" width="27" style="75" customWidth="1"/>
    <col min="9000" max="9001" width="16.28515625" style="75" bestFit="1" customWidth="1"/>
    <col min="9002" max="9002" width="46.28515625" style="75" bestFit="1" customWidth="1"/>
    <col min="9003" max="9003" width="23.85546875" style="75" customWidth="1"/>
    <col min="9004" max="9004" width="17.140625" style="75" bestFit="1" customWidth="1"/>
    <col min="9005" max="9005" width="18.5703125" style="75" bestFit="1" customWidth="1"/>
    <col min="9006" max="9007" width="20.5703125" style="75" customWidth="1"/>
    <col min="9008" max="9008" width="11.42578125" style="75" bestFit="1" customWidth="1"/>
    <col min="9009" max="9213" width="9.140625" style="75"/>
    <col min="9214" max="9214" width="8" style="75" customWidth="1"/>
    <col min="9215" max="9215" width="7.140625" style="75" customWidth="1"/>
    <col min="9216" max="9216" width="17" style="75" bestFit="1" customWidth="1"/>
    <col min="9217" max="9217" width="20.28515625" style="75" bestFit="1" customWidth="1"/>
    <col min="9218" max="9218" width="2.7109375" style="75" customWidth="1"/>
    <col min="9219" max="9219" width="5.5703125" style="75" customWidth="1"/>
    <col min="9220" max="9220" width="14.42578125" style="75" customWidth="1"/>
    <col min="9221" max="9221" width="18.42578125" style="75" customWidth="1"/>
    <col min="9222" max="9222" width="13" style="75" customWidth="1"/>
    <col min="9223" max="9223" width="16.7109375" style="75" customWidth="1"/>
    <col min="9224" max="9224" width="14.7109375" style="75" customWidth="1"/>
    <col min="9225" max="9225" width="18.42578125" style="75" customWidth="1"/>
    <col min="9226" max="9226" width="16.7109375" style="75" customWidth="1"/>
    <col min="9227" max="9227" width="4.140625" style="75" customWidth="1"/>
    <col min="9228" max="9228" width="7.28515625" style="75" customWidth="1"/>
    <col min="9229" max="9229" width="11.140625" style="75" bestFit="1" customWidth="1"/>
    <col min="9230" max="9230" width="16.5703125" style="75" customWidth="1"/>
    <col min="9231" max="9231" width="16.7109375" style="75" customWidth="1"/>
    <col min="9232" max="9232" width="15.28515625" style="75" customWidth="1"/>
    <col min="9233" max="9233" width="25.5703125" style="75" bestFit="1" customWidth="1"/>
    <col min="9234" max="9234" width="9.42578125" style="75" customWidth="1"/>
    <col min="9235" max="9235" width="6.7109375" style="75" customWidth="1"/>
    <col min="9236" max="9236" width="14.85546875" style="75" customWidth="1"/>
    <col min="9237" max="9237" width="15.7109375" style="75" customWidth="1"/>
    <col min="9238" max="9238" width="14.85546875" style="75" customWidth="1"/>
    <col min="9239" max="9239" width="12.5703125" style="75" bestFit="1" customWidth="1"/>
    <col min="9240" max="9240" width="12.85546875" style="75" customWidth="1"/>
    <col min="9241" max="9241" width="13.7109375" style="75" bestFit="1" customWidth="1"/>
    <col min="9242" max="9242" width="14.28515625" style="75" bestFit="1" customWidth="1"/>
    <col min="9243" max="9243" width="17.28515625" style="75" customWidth="1"/>
    <col min="9244" max="9244" width="13.140625" style="75" bestFit="1" customWidth="1"/>
    <col min="9245" max="9245" width="16.28515625" style="75" bestFit="1" customWidth="1"/>
    <col min="9246" max="9246" width="13.140625" style="75" bestFit="1" customWidth="1"/>
    <col min="9247" max="9249" width="14.7109375" style="75" bestFit="1" customWidth="1"/>
    <col min="9250" max="9250" width="16.28515625" style="75" bestFit="1" customWidth="1"/>
    <col min="9251" max="9251" width="17.7109375" style="75" bestFit="1" customWidth="1"/>
    <col min="9252" max="9253" width="14.7109375" style="75" bestFit="1" customWidth="1"/>
    <col min="9254" max="9254" width="14.7109375" style="75" customWidth="1"/>
    <col min="9255" max="9255" width="27" style="75" customWidth="1"/>
    <col min="9256" max="9257" width="16.28515625" style="75" bestFit="1" customWidth="1"/>
    <col min="9258" max="9258" width="46.28515625" style="75" bestFit="1" customWidth="1"/>
    <col min="9259" max="9259" width="23.85546875" style="75" customWidth="1"/>
    <col min="9260" max="9260" width="17.140625" style="75" bestFit="1" customWidth="1"/>
    <col min="9261" max="9261" width="18.5703125" style="75" bestFit="1" customWidth="1"/>
    <col min="9262" max="9263" width="20.5703125" style="75" customWidth="1"/>
    <col min="9264" max="9264" width="11.42578125" style="75" bestFit="1" customWidth="1"/>
    <col min="9265" max="9469" width="9.140625" style="75"/>
    <col min="9470" max="9470" width="8" style="75" customWidth="1"/>
    <col min="9471" max="9471" width="7.140625" style="75" customWidth="1"/>
    <col min="9472" max="9472" width="17" style="75" bestFit="1" customWidth="1"/>
    <col min="9473" max="9473" width="20.28515625" style="75" bestFit="1" customWidth="1"/>
    <col min="9474" max="9474" width="2.7109375" style="75" customWidth="1"/>
    <col min="9475" max="9475" width="5.5703125" style="75" customWidth="1"/>
    <col min="9476" max="9476" width="14.42578125" style="75" customWidth="1"/>
    <col min="9477" max="9477" width="18.42578125" style="75" customWidth="1"/>
    <col min="9478" max="9478" width="13" style="75" customWidth="1"/>
    <col min="9479" max="9479" width="16.7109375" style="75" customWidth="1"/>
    <col min="9480" max="9480" width="14.7109375" style="75" customWidth="1"/>
    <col min="9481" max="9481" width="18.42578125" style="75" customWidth="1"/>
    <col min="9482" max="9482" width="16.7109375" style="75" customWidth="1"/>
    <col min="9483" max="9483" width="4.140625" style="75" customWidth="1"/>
    <col min="9484" max="9484" width="7.28515625" style="75" customWidth="1"/>
    <col min="9485" max="9485" width="11.140625" style="75" bestFit="1" customWidth="1"/>
    <col min="9486" max="9486" width="16.5703125" style="75" customWidth="1"/>
    <col min="9487" max="9487" width="16.7109375" style="75" customWidth="1"/>
    <col min="9488" max="9488" width="15.28515625" style="75" customWidth="1"/>
    <col min="9489" max="9489" width="25.5703125" style="75" bestFit="1" customWidth="1"/>
    <col min="9490" max="9490" width="9.42578125" style="75" customWidth="1"/>
    <col min="9491" max="9491" width="6.7109375" style="75" customWidth="1"/>
    <col min="9492" max="9492" width="14.85546875" style="75" customWidth="1"/>
    <col min="9493" max="9493" width="15.7109375" style="75" customWidth="1"/>
    <col min="9494" max="9494" width="14.85546875" style="75" customWidth="1"/>
    <col min="9495" max="9495" width="12.5703125" style="75" bestFit="1" customWidth="1"/>
    <col min="9496" max="9496" width="12.85546875" style="75" customWidth="1"/>
    <col min="9497" max="9497" width="13.7109375" style="75" bestFit="1" customWidth="1"/>
    <col min="9498" max="9498" width="14.28515625" style="75" bestFit="1" customWidth="1"/>
    <col min="9499" max="9499" width="17.28515625" style="75" customWidth="1"/>
    <col min="9500" max="9500" width="13.140625" style="75" bestFit="1" customWidth="1"/>
    <col min="9501" max="9501" width="16.28515625" style="75" bestFit="1" customWidth="1"/>
    <col min="9502" max="9502" width="13.140625" style="75" bestFit="1" customWidth="1"/>
    <col min="9503" max="9505" width="14.7109375" style="75" bestFit="1" customWidth="1"/>
    <col min="9506" max="9506" width="16.28515625" style="75" bestFit="1" customWidth="1"/>
    <col min="9507" max="9507" width="17.7109375" style="75" bestFit="1" customWidth="1"/>
    <col min="9508" max="9509" width="14.7109375" style="75" bestFit="1" customWidth="1"/>
    <col min="9510" max="9510" width="14.7109375" style="75" customWidth="1"/>
    <col min="9511" max="9511" width="27" style="75" customWidth="1"/>
    <col min="9512" max="9513" width="16.28515625" style="75" bestFit="1" customWidth="1"/>
    <col min="9514" max="9514" width="46.28515625" style="75" bestFit="1" customWidth="1"/>
    <col min="9515" max="9515" width="23.85546875" style="75" customWidth="1"/>
    <col min="9516" max="9516" width="17.140625" style="75" bestFit="1" customWidth="1"/>
    <col min="9517" max="9517" width="18.5703125" style="75" bestFit="1" customWidth="1"/>
    <col min="9518" max="9519" width="20.5703125" style="75" customWidth="1"/>
    <col min="9520" max="9520" width="11.42578125" style="75" bestFit="1" customWidth="1"/>
    <col min="9521" max="9725" width="9.140625" style="75"/>
    <col min="9726" max="9726" width="8" style="75" customWidth="1"/>
    <col min="9727" max="9727" width="7.140625" style="75" customWidth="1"/>
    <col min="9728" max="9728" width="17" style="75" bestFit="1" customWidth="1"/>
    <col min="9729" max="9729" width="20.28515625" style="75" bestFit="1" customWidth="1"/>
    <col min="9730" max="9730" width="2.7109375" style="75" customWidth="1"/>
    <col min="9731" max="9731" width="5.5703125" style="75" customWidth="1"/>
    <col min="9732" max="9732" width="14.42578125" style="75" customWidth="1"/>
    <col min="9733" max="9733" width="18.42578125" style="75" customWidth="1"/>
    <col min="9734" max="9734" width="13" style="75" customWidth="1"/>
    <col min="9735" max="9735" width="16.7109375" style="75" customWidth="1"/>
    <col min="9736" max="9736" width="14.7109375" style="75" customWidth="1"/>
    <col min="9737" max="9737" width="18.42578125" style="75" customWidth="1"/>
    <col min="9738" max="9738" width="16.7109375" style="75" customWidth="1"/>
    <col min="9739" max="9739" width="4.140625" style="75" customWidth="1"/>
    <col min="9740" max="9740" width="7.28515625" style="75" customWidth="1"/>
    <col min="9741" max="9741" width="11.140625" style="75" bestFit="1" customWidth="1"/>
    <col min="9742" max="9742" width="16.5703125" style="75" customWidth="1"/>
    <col min="9743" max="9743" width="16.7109375" style="75" customWidth="1"/>
    <col min="9744" max="9744" width="15.28515625" style="75" customWidth="1"/>
    <col min="9745" max="9745" width="25.5703125" style="75" bestFit="1" customWidth="1"/>
    <col min="9746" max="9746" width="9.42578125" style="75" customWidth="1"/>
    <col min="9747" max="9747" width="6.7109375" style="75" customWidth="1"/>
    <col min="9748" max="9748" width="14.85546875" style="75" customWidth="1"/>
    <col min="9749" max="9749" width="15.7109375" style="75" customWidth="1"/>
    <col min="9750" max="9750" width="14.85546875" style="75" customWidth="1"/>
    <col min="9751" max="9751" width="12.5703125" style="75" bestFit="1" customWidth="1"/>
    <col min="9752" max="9752" width="12.85546875" style="75" customWidth="1"/>
    <col min="9753" max="9753" width="13.7109375" style="75" bestFit="1" customWidth="1"/>
    <col min="9754" max="9754" width="14.28515625" style="75" bestFit="1" customWidth="1"/>
    <col min="9755" max="9755" width="17.28515625" style="75" customWidth="1"/>
    <col min="9756" max="9756" width="13.140625" style="75" bestFit="1" customWidth="1"/>
    <col min="9757" max="9757" width="16.28515625" style="75" bestFit="1" customWidth="1"/>
    <col min="9758" max="9758" width="13.140625" style="75" bestFit="1" customWidth="1"/>
    <col min="9759" max="9761" width="14.7109375" style="75" bestFit="1" customWidth="1"/>
    <col min="9762" max="9762" width="16.28515625" style="75" bestFit="1" customWidth="1"/>
    <col min="9763" max="9763" width="17.7109375" style="75" bestFit="1" customWidth="1"/>
    <col min="9764" max="9765" width="14.7109375" style="75" bestFit="1" customWidth="1"/>
    <col min="9766" max="9766" width="14.7109375" style="75" customWidth="1"/>
    <col min="9767" max="9767" width="27" style="75" customWidth="1"/>
    <col min="9768" max="9769" width="16.28515625" style="75" bestFit="1" customWidth="1"/>
    <col min="9770" max="9770" width="46.28515625" style="75" bestFit="1" customWidth="1"/>
    <col min="9771" max="9771" width="23.85546875" style="75" customWidth="1"/>
    <col min="9772" max="9772" width="17.140625" style="75" bestFit="1" customWidth="1"/>
    <col min="9773" max="9773" width="18.5703125" style="75" bestFit="1" customWidth="1"/>
    <col min="9774" max="9775" width="20.5703125" style="75" customWidth="1"/>
    <col min="9776" max="9776" width="11.42578125" style="75" bestFit="1" customWidth="1"/>
    <col min="9777" max="9981" width="9.140625" style="75"/>
    <col min="9982" max="9982" width="8" style="75" customWidth="1"/>
    <col min="9983" max="9983" width="7.140625" style="75" customWidth="1"/>
    <col min="9984" max="9984" width="17" style="75" bestFit="1" customWidth="1"/>
    <col min="9985" max="9985" width="20.28515625" style="75" bestFit="1" customWidth="1"/>
    <col min="9986" max="9986" width="2.7109375" style="75" customWidth="1"/>
    <col min="9987" max="9987" width="5.5703125" style="75" customWidth="1"/>
    <col min="9988" max="9988" width="14.42578125" style="75" customWidth="1"/>
    <col min="9989" max="9989" width="18.42578125" style="75" customWidth="1"/>
    <col min="9990" max="9990" width="13" style="75" customWidth="1"/>
    <col min="9991" max="9991" width="16.7109375" style="75" customWidth="1"/>
    <col min="9992" max="9992" width="14.7109375" style="75" customWidth="1"/>
    <col min="9993" max="9993" width="18.42578125" style="75" customWidth="1"/>
    <col min="9994" max="9994" width="16.7109375" style="75" customWidth="1"/>
    <col min="9995" max="9995" width="4.140625" style="75" customWidth="1"/>
    <col min="9996" max="9996" width="7.28515625" style="75" customWidth="1"/>
    <col min="9997" max="9997" width="11.140625" style="75" bestFit="1" customWidth="1"/>
    <col min="9998" max="9998" width="16.5703125" style="75" customWidth="1"/>
    <col min="9999" max="9999" width="16.7109375" style="75" customWidth="1"/>
    <col min="10000" max="10000" width="15.28515625" style="75" customWidth="1"/>
    <col min="10001" max="10001" width="25.5703125" style="75" bestFit="1" customWidth="1"/>
    <col min="10002" max="10002" width="9.42578125" style="75" customWidth="1"/>
    <col min="10003" max="10003" width="6.7109375" style="75" customWidth="1"/>
    <col min="10004" max="10004" width="14.85546875" style="75" customWidth="1"/>
    <col min="10005" max="10005" width="15.7109375" style="75" customWidth="1"/>
    <col min="10006" max="10006" width="14.85546875" style="75" customWidth="1"/>
    <col min="10007" max="10007" width="12.5703125" style="75" bestFit="1" customWidth="1"/>
    <col min="10008" max="10008" width="12.85546875" style="75" customWidth="1"/>
    <col min="10009" max="10009" width="13.7109375" style="75" bestFit="1" customWidth="1"/>
    <col min="10010" max="10010" width="14.28515625" style="75" bestFit="1" customWidth="1"/>
    <col min="10011" max="10011" width="17.28515625" style="75" customWidth="1"/>
    <col min="10012" max="10012" width="13.140625" style="75" bestFit="1" customWidth="1"/>
    <col min="10013" max="10013" width="16.28515625" style="75" bestFit="1" customWidth="1"/>
    <col min="10014" max="10014" width="13.140625" style="75" bestFit="1" customWidth="1"/>
    <col min="10015" max="10017" width="14.7109375" style="75" bestFit="1" customWidth="1"/>
    <col min="10018" max="10018" width="16.28515625" style="75" bestFit="1" customWidth="1"/>
    <col min="10019" max="10019" width="17.7109375" style="75" bestFit="1" customWidth="1"/>
    <col min="10020" max="10021" width="14.7109375" style="75" bestFit="1" customWidth="1"/>
    <col min="10022" max="10022" width="14.7109375" style="75" customWidth="1"/>
    <col min="10023" max="10023" width="27" style="75" customWidth="1"/>
    <col min="10024" max="10025" width="16.28515625" style="75" bestFit="1" customWidth="1"/>
    <col min="10026" max="10026" width="46.28515625" style="75" bestFit="1" customWidth="1"/>
    <col min="10027" max="10027" width="23.85546875" style="75" customWidth="1"/>
    <col min="10028" max="10028" width="17.140625" style="75" bestFit="1" customWidth="1"/>
    <col min="10029" max="10029" width="18.5703125" style="75" bestFit="1" customWidth="1"/>
    <col min="10030" max="10031" width="20.5703125" style="75" customWidth="1"/>
    <col min="10032" max="10032" width="11.42578125" style="75" bestFit="1" customWidth="1"/>
    <col min="10033" max="10237" width="9.140625" style="75"/>
    <col min="10238" max="10238" width="8" style="75" customWidth="1"/>
    <col min="10239" max="10239" width="7.140625" style="75" customWidth="1"/>
    <col min="10240" max="10240" width="17" style="75" bestFit="1" customWidth="1"/>
    <col min="10241" max="10241" width="20.28515625" style="75" bestFit="1" customWidth="1"/>
    <col min="10242" max="10242" width="2.7109375" style="75" customWidth="1"/>
    <col min="10243" max="10243" width="5.5703125" style="75" customWidth="1"/>
    <col min="10244" max="10244" width="14.42578125" style="75" customWidth="1"/>
    <col min="10245" max="10245" width="18.42578125" style="75" customWidth="1"/>
    <col min="10246" max="10246" width="13" style="75" customWidth="1"/>
    <col min="10247" max="10247" width="16.7109375" style="75" customWidth="1"/>
    <col min="10248" max="10248" width="14.7109375" style="75" customWidth="1"/>
    <col min="10249" max="10249" width="18.42578125" style="75" customWidth="1"/>
    <col min="10250" max="10250" width="16.7109375" style="75" customWidth="1"/>
    <col min="10251" max="10251" width="4.140625" style="75" customWidth="1"/>
    <col min="10252" max="10252" width="7.28515625" style="75" customWidth="1"/>
    <col min="10253" max="10253" width="11.140625" style="75" bestFit="1" customWidth="1"/>
    <col min="10254" max="10254" width="16.5703125" style="75" customWidth="1"/>
    <col min="10255" max="10255" width="16.7109375" style="75" customWidth="1"/>
    <col min="10256" max="10256" width="15.28515625" style="75" customWidth="1"/>
    <col min="10257" max="10257" width="25.5703125" style="75" bestFit="1" customWidth="1"/>
    <col min="10258" max="10258" width="9.42578125" style="75" customWidth="1"/>
    <col min="10259" max="10259" width="6.7109375" style="75" customWidth="1"/>
    <col min="10260" max="10260" width="14.85546875" style="75" customWidth="1"/>
    <col min="10261" max="10261" width="15.7109375" style="75" customWidth="1"/>
    <col min="10262" max="10262" width="14.85546875" style="75" customWidth="1"/>
    <col min="10263" max="10263" width="12.5703125" style="75" bestFit="1" customWidth="1"/>
    <col min="10264" max="10264" width="12.85546875" style="75" customWidth="1"/>
    <col min="10265" max="10265" width="13.7109375" style="75" bestFit="1" customWidth="1"/>
    <col min="10266" max="10266" width="14.28515625" style="75" bestFit="1" customWidth="1"/>
    <col min="10267" max="10267" width="17.28515625" style="75" customWidth="1"/>
    <col min="10268" max="10268" width="13.140625" style="75" bestFit="1" customWidth="1"/>
    <col min="10269" max="10269" width="16.28515625" style="75" bestFit="1" customWidth="1"/>
    <col min="10270" max="10270" width="13.140625" style="75" bestFit="1" customWidth="1"/>
    <col min="10271" max="10273" width="14.7109375" style="75" bestFit="1" customWidth="1"/>
    <col min="10274" max="10274" width="16.28515625" style="75" bestFit="1" customWidth="1"/>
    <col min="10275" max="10275" width="17.7109375" style="75" bestFit="1" customWidth="1"/>
    <col min="10276" max="10277" width="14.7109375" style="75" bestFit="1" customWidth="1"/>
    <col min="10278" max="10278" width="14.7109375" style="75" customWidth="1"/>
    <col min="10279" max="10279" width="27" style="75" customWidth="1"/>
    <col min="10280" max="10281" width="16.28515625" style="75" bestFit="1" customWidth="1"/>
    <col min="10282" max="10282" width="46.28515625" style="75" bestFit="1" customWidth="1"/>
    <col min="10283" max="10283" width="23.85546875" style="75" customWidth="1"/>
    <col min="10284" max="10284" width="17.140625" style="75" bestFit="1" customWidth="1"/>
    <col min="10285" max="10285" width="18.5703125" style="75" bestFit="1" customWidth="1"/>
    <col min="10286" max="10287" width="20.5703125" style="75" customWidth="1"/>
    <col min="10288" max="10288" width="11.42578125" style="75" bestFit="1" customWidth="1"/>
    <col min="10289" max="10493" width="9.140625" style="75"/>
    <col min="10494" max="10494" width="8" style="75" customWidth="1"/>
    <col min="10495" max="10495" width="7.140625" style="75" customWidth="1"/>
    <col min="10496" max="10496" width="17" style="75" bestFit="1" customWidth="1"/>
    <col min="10497" max="10497" width="20.28515625" style="75" bestFit="1" customWidth="1"/>
    <col min="10498" max="10498" width="2.7109375" style="75" customWidth="1"/>
    <col min="10499" max="10499" width="5.5703125" style="75" customWidth="1"/>
    <col min="10500" max="10500" width="14.42578125" style="75" customWidth="1"/>
    <col min="10501" max="10501" width="18.42578125" style="75" customWidth="1"/>
    <col min="10502" max="10502" width="13" style="75" customWidth="1"/>
    <col min="10503" max="10503" width="16.7109375" style="75" customWidth="1"/>
    <col min="10504" max="10504" width="14.7109375" style="75" customWidth="1"/>
    <col min="10505" max="10505" width="18.42578125" style="75" customWidth="1"/>
    <col min="10506" max="10506" width="16.7109375" style="75" customWidth="1"/>
    <col min="10507" max="10507" width="4.140625" style="75" customWidth="1"/>
    <col min="10508" max="10508" width="7.28515625" style="75" customWidth="1"/>
    <col min="10509" max="10509" width="11.140625" style="75" bestFit="1" customWidth="1"/>
    <col min="10510" max="10510" width="16.5703125" style="75" customWidth="1"/>
    <col min="10511" max="10511" width="16.7109375" style="75" customWidth="1"/>
    <col min="10512" max="10512" width="15.28515625" style="75" customWidth="1"/>
    <col min="10513" max="10513" width="25.5703125" style="75" bestFit="1" customWidth="1"/>
    <col min="10514" max="10514" width="9.42578125" style="75" customWidth="1"/>
    <col min="10515" max="10515" width="6.7109375" style="75" customWidth="1"/>
    <col min="10516" max="10516" width="14.85546875" style="75" customWidth="1"/>
    <col min="10517" max="10517" width="15.7109375" style="75" customWidth="1"/>
    <col min="10518" max="10518" width="14.85546875" style="75" customWidth="1"/>
    <col min="10519" max="10519" width="12.5703125" style="75" bestFit="1" customWidth="1"/>
    <col min="10520" max="10520" width="12.85546875" style="75" customWidth="1"/>
    <col min="10521" max="10521" width="13.7109375" style="75" bestFit="1" customWidth="1"/>
    <col min="10522" max="10522" width="14.28515625" style="75" bestFit="1" customWidth="1"/>
    <col min="10523" max="10523" width="17.28515625" style="75" customWidth="1"/>
    <col min="10524" max="10524" width="13.140625" style="75" bestFit="1" customWidth="1"/>
    <col min="10525" max="10525" width="16.28515625" style="75" bestFit="1" customWidth="1"/>
    <col min="10526" max="10526" width="13.140625" style="75" bestFit="1" customWidth="1"/>
    <col min="10527" max="10529" width="14.7109375" style="75" bestFit="1" customWidth="1"/>
    <col min="10530" max="10530" width="16.28515625" style="75" bestFit="1" customWidth="1"/>
    <col min="10531" max="10531" width="17.7109375" style="75" bestFit="1" customWidth="1"/>
    <col min="10532" max="10533" width="14.7109375" style="75" bestFit="1" customWidth="1"/>
    <col min="10534" max="10534" width="14.7109375" style="75" customWidth="1"/>
    <col min="10535" max="10535" width="27" style="75" customWidth="1"/>
    <col min="10536" max="10537" width="16.28515625" style="75" bestFit="1" customWidth="1"/>
    <col min="10538" max="10538" width="46.28515625" style="75" bestFit="1" customWidth="1"/>
    <col min="10539" max="10539" width="23.85546875" style="75" customWidth="1"/>
    <col min="10540" max="10540" width="17.140625" style="75" bestFit="1" customWidth="1"/>
    <col min="10541" max="10541" width="18.5703125" style="75" bestFit="1" customWidth="1"/>
    <col min="10542" max="10543" width="20.5703125" style="75" customWidth="1"/>
    <col min="10544" max="10544" width="11.42578125" style="75" bestFit="1" customWidth="1"/>
    <col min="10545" max="10749" width="9.140625" style="75"/>
    <col min="10750" max="10750" width="8" style="75" customWidth="1"/>
    <col min="10751" max="10751" width="7.140625" style="75" customWidth="1"/>
    <col min="10752" max="10752" width="17" style="75" bestFit="1" customWidth="1"/>
    <col min="10753" max="10753" width="20.28515625" style="75" bestFit="1" customWidth="1"/>
    <col min="10754" max="10754" width="2.7109375" style="75" customWidth="1"/>
    <col min="10755" max="10755" width="5.5703125" style="75" customWidth="1"/>
    <col min="10756" max="10756" width="14.42578125" style="75" customWidth="1"/>
    <col min="10757" max="10757" width="18.42578125" style="75" customWidth="1"/>
    <col min="10758" max="10758" width="13" style="75" customWidth="1"/>
    <col min="10759" max="10759" width="16.7109375" style="75" customWidth="1"/>
    <col min="10760" max="10760" width="14.7109375" style="75" customWidth="1"/>
    <col min="10761" max="10761" width="18.42578125" style="75" customWidth="1"/>
    <col min="10762" max="10762" width="16.7109375" style="75" customWidth="1"/>
    <col min="10763" max="10763" width="4.140625" style="75" customWidth="1"/>
    <col min="10764" max="10764" width="7.28515625" style="75" customWidth="1"/>
    <col min="10765" max="10765" width="11.140625" style="75" bestFit="1" customWidth="1"/>
    <col min="10766" max="10766" width="16.5703125" style="75" customWidth="1"/>
    <col min="10767" max="10767" width="16.7109375" style="75" customWidth="1"/>
    <col min="10768" max="10768" width="15.28515625" style="75" customWidth="1"/>
    <col min="10769" max="10769" width="25.5703125" style="75" bestFit="1" customWidth="1"/>
    <col min="10770" max="10770" width="9.42578125" style="75" customWidth="1"/>
    <col min="10771" max="10771" width="6.7109375" style="75" customWidth="1"/>
    <col min="10772" max="10772" width="14.85546875" style="75" customWidth="1"/>
    <col min="10773" max="10773" width="15.7109375" style="75" customWidth="1"/>
    <col min="10774" max="10774" width="14.85546875" style="75" customWidth="1"/>
    <col min="10775" max="10775" width="12.5703125" style="75" bestFit="1" customWidth="1"/>
    <col min="10776" max="10776" width="12.85546875" style="75" customWidth="1"/>
    <col min="10777" max="10777" width="13.7109375" style="75" bestFit="1" customWidth="1"/>
    <col min="10778" max="10778" width="14.28515625" style="75" bestFit="1" customWidth="1"/>
    <col min="10779" max="10779" width="17.28515625" style="75" customWidth="1"/>
    <col min="10780" max="10780" width="13.140625" style="75" bestFit="1" customWidth="1"/>
    <col min="10781" max="10781" width="16.28515625" style="75" bestFit="1" customWidth="1"/>
    <col min="10782" max="10782" width="13.140625" style="75" bestFit="1" customWidth="1"/>
    <col min="10783" max="10785" width="14.7109375" style="75" bestFit="1" customWidth="1"/>
    <col min="10786" max="10786" width="16.28515625" style="75" bestFit="1" customWidth="1"/>
    <col min="10787" max="10787" width="17.7109375" style="75" bestFit="1" customWidth="1"/>
    <col min="10788" max="10789" width="14.7109375" style="75" bestFit="1" customWidth="1"/>
    <col min="10790" max="10790" width="14.7109375" style="75" customWidth="1"/>
    <col min="10791" max="10791" width="27" style="75" customWidth="1"/>
    <col min="10792" max="10793" width="16.28515625" style="75" bestFit="1" customWidth="1"/>
    <col min="10794" max="10794" width="46.28515625" style="75" bestFit="1" customWidth="1"/>
    <col min="10795" max="10795" width="23.85546875" style="75" customWidth="1"/>
    <col min="10796" max="10796" width="17.140625" style="75" bestFit="1" customWidth="1"/>
    <col min="10797" max="10797" width="18.5703125" style="75" bestFit="1" customWidth="1"/>
    <col min="10798" max="10799" width="20.5703125" style="75" customWidth="1"/>
    <col min="10800" max="10800" width="11.42578125" style="75" bestFit="1" customWidth="1"/>
    <col min="10801" max="11005" width="9.140625" style="75"/>
    <col min="11006" max="11006" width="8" style="75" customWidth="1"/>
    <col min="11007" max="11007" width="7.140625" style="75" customWidth="1"/>
    <col min="11008" max="11008" width="17" style="75" bestFit="1" customWidth="1"/>
    <col min="11009" max="11009" width="20.28515625" style="75" bestFit="1" customWidth="1"/>
    <col min="11010" max="11010" width="2.7109375" style="75" customWidth="1"/>
    <col min="11011" max="11011" width="5.5703125" style="75" customWidth="1"/>
    <col min="11012" max="11012" width="14.42578125" style="75" customWidth="1"/>
    <col min="11013" max="11013" width="18.42578125" style="75" customWidth="1"/>
    <col min="11014" max="11014" width="13" style="75" customWidth="1"/>
    <col min="11015" max="11015" width="16.7109375" style="75" customWidth="1"/>
    <col min="11016" max="11016" width="14.7109375" style="75" customWidth="1"/>
    <col min="11017" max="11017" width="18.42578125" style="75" customWidth="1"/>
    <col min="11018" max="11018" width="16.7109375" style="75" customWidth="1"/>
    <col min="11019" max="11019" width="4.140625" style="75" customWidth="1"/>
    <col min="11020" max="11020" width="7.28515625" style="75" customWidth="1"/>
    <col min="11021" max="11021" width="11.140625" style="75" bestFit="1" customWidth="1"/>
    <col min="11022" max="11022" width="16.5703125" style="75" customWidth="1"/>
    <col min="11023" max="11023" width="16.7109375" style="75" customWidth="1"/>
    <col min="11024" max="11024" width="15.28515625" style="75" customWidth="1"/>
    <col min="11025" max="11025" width="25.5703125" style="75" bestFit="1" customWidth="1"/>
    <col min="11026" max="11026" width="9.42578125" style="75" customWidth="1"/>
    <col min="11027" max="11027" width="6.7109375" style="75" customWidth="1"/>
    <col min="11028" max="11028" width="14.85546875" style="75" customWidth="1"/>
    <col min="11029" max="11029" width="15.7109375" style="75" customWidth="1"/>
    <col min="11030" max="11030" width="14.85546875" style="75" customWidth="1"/>
    <col min="11031" max="11031" width="12.5703125" style="75" bestFit="1" customWidth="1"/>
    <col min="11032" max="11032" width="12.85546875" style="75" customWidth="1"/>
    <col min="11033" max="11033" width="13.7109375" style="75" bestFit="1" customWidth="1"/>
    <col min="11034" max="11034" width="14.28515625" style="75" bestFit="1" customWidth="1"/>
    <col min="11035" max="11035" width="17.28515625" style="75" customWidth="1"/>
    <col min="11036" max="11036" width="13.140625" style="75" bestFit="1" customWidth="1"/>
    <col min="11037" max="11037" width="16.28515625" style="75" bestFit="1" customWidth="1"/>
    <col min="11038" max="11038" width="13.140625" style="75" bestFit="1" customWidth="1"/>
    <col min="11039" max="11041" width="14.7109375" style="75" bestFit="1" customWidth="1"/>
    <col min="11042" max="11042" width="16.28515625" style="75" bestFit="1" customWidth="1"/>
    <col min="11043" max="11043" width="17.7109375" style="75" bestFit="1" customWidth="1"/>
    <col min="11044" max="11045" width="14.7109375" style="75" bestFit="1" customWidth="1"/>
    <col min="11046" max="11046" width="14.7109375" style="75" customWidth="1"/>
    <col min="11047" max="11047" width="27" style="75" customWidth="1"/>
    <col min="11048" max="11049" width="16.28515625" style="75" bestFit="1" customWidth="1"/>
    <col min="11050" max="11050" width="46.28515625" style="75" bestFit="1" customWidth="1"/>
    <col min="11051" max="11051" width="23.85546875" style="75" customWidth="1"/>
    <col min="11052" max="11052" width="17.140625" style="75" bestFit="1" customWidth="1"/>
    <col min="11053" max="11053" width="18.5703125" style="75" bestFit="1" customWidth="1"/>
    <col min="11054" max="11055" width="20.5703125" style="75" customWidth="1"/>
    <col min="11056" max="11056" width="11.42578125" style="75" bestFit="1" customWidth="1"/>
    <col min="11057" max="11261" width="9.140625" style="75"/>
    <col min="11262" max="11262" width="8" style="75" customWidth="1"/>
    <col min="11263" max="11263" width="7.140625" style="75" customWidth="1"/>
    <col min="11264" max="11264" width="17" style="75" bestFit="1" customWidth="1"/>
    <col min="11265" max="11265" width="20.28515625" style="75" bestFit="1" customWidth="1"/>
    <col min="11266" max="11266" width="2.7109375" style="75" customWidth="1"/>
    <col min="11267" max="11267" width="5.5703125" style="75" customWidth="1"/>
    <col min="11268" max="11268" width="14.42578125" style="75" customWidth="1"/>
    <col min="11269" max="11269" width="18.42578125" style="75" customWidth="1"/>
    <col min="11270" max="11270" width="13" style="75" customWidth="1"/>
    <col min="11271" max="11271" width="16.7109375" style="75" customWidth="1"/>
    <col min="11272" max="11272" width="14.7109375" style="75" customWidth="1"/>
    <col min="11273" max="11273" width="18.42578125" style="75" customWidth="1"/>
    <col min="11274" max="11274" width="16.7109375" style="75" customWidth="1"/>
    <col min="11275" max="11275" width="4.140625" style="75" customWidth="1"/>
    <col min="11276" max="11276" width="7.28515625" style="75" customWidth="1"/>
    <col min="11277" max="11277" width="11.140625" style="75" bestFit="1" customWidth="1"/>
    <col min="11278" max="11278" width="16.5703125" style="75" customWidth="1"/>
    <col min="11279" max="11279" width="16.7109375" style="75" customWidth="1"/>
    <col min="11280" max="11280" width="15.28515625" style="75" customWidth="1"/>
    <col min="11281" max="11281" width="25.5703125" style="75" bestFit="1" customWidth="1"/>
    <col min="11282" max="11282" width="9.42578125" style="75" customWidth="1"/>
    <col min="11283" max="11283" width="6.7109375" style="75" customWidth="1"/>
    <col min="11284" max="11284" width="14.85546875" style="75" customWidth="1"/>
    <col min="11285" max="11285" width="15.7109375" style="75" customWidth="1"/>
    <col min="11286" max="11286" width="14.85546875" style="75" customWidth="1"/>
    <col min="11287" max="11287" width="12.5703125" style="75" bestFit="1" customWidth="1"/>
    <col min="11288" max="11288" width="12.85546875" style="75" customWidth="1"/>
    <col min="11289" max="11289" width="13.7109375" style="75" bestFit="1" customWidth="1"/>
    <col min="11290" max="11290" width="14.28515625" style="75" bestFit="1" customWidth="1"/>
    <col min="11291" max="11291" width="17.28515625" style="75" customWidth="1"/>
    <col min="11292" max="11292" width="13.140625" style="75" bestFit="1" customWidth="1"/>
    <col min="11293" max="11293" width="16.28515625" style="75" bestFit="1" customWidth="1"/>
    <col min="11294" max="11294" width="13.140625" style="75" bestFit="1" customWidth="1"/>
    <col min="11295" max="11297" width="14.7109375" style="75" bestFit="1" customWidth="1"/>
    <col min="11298" max="11298" width="16.28515625" style="75" bestFit="1" customWidth="1"/>
    <col min="11299" max="11299" width="17.7109375" style="75" bestFit="1" customWidth="1"/>
    <col min="11300" max="11301" width="14.7109375" style="75" bestFit="1" customWidth="1"/>
    <col min="11302" max="11302" width="14.7109375" style="75" customWidth="1"/>
    <col min="11303" max="11303" width="27" style="75" customWidth="1"/>
    <col min="11304" max="11305" width="16.28515625" style="75" bestFit="1" customWidth="1"/>
    <col min="11306" max="11306" width="46.28515625" style="75" bestFit="1" customWidth="1"/>
    <col min="11307" max="11307" width="23.85546875" style="75" customWidth="1"/>
    <col min="11308" max="11308" width="17.140625" style="75" bestFit="1" customWidth="1"/>
    <col min="11309" max="11309" width="18.5703125" style="75" bestFit="1" customWidth="1"/>
    <col min="11310" max="11311" width="20.5703125" style="75" customWidth="1"/>
    <col min="11312" max="11312" width="11.42578125" style="75" bestFit="1" customWidth="1"/>
    <col min="11313" max="11517" width="9.140625" style="75"/>
    <col min="11518" max="11518" width="8" style="75" customWidth="1"/>
    <col min="11519" max="11519" width="7.140625" style="75" customWidth="1"/>
    <col min="11520" max="11520" width="17" style="75" bestFit="1" customWidth="1"/>
    <col min="11521" max="11521" width="20.28515625" style="75" bestFit="1" customWidth="1"/>
    <col min="11522" max="11522" width="2.7109375" style="75" customWidth="1"/>
    <col min="11523" max="11523" width="5.5703125" style="75" customWidth="1"/>
    <col min="11524" max="11524" width="14.42578125" style="75" customWidth="1"/>
    <col min="11525" max="11525" width="18.42578125" style="75" customWidth="1"/>
    <col min="11526" max="11526" width="13" style="75" customWidth="1"/>
    <col min="11527" max="11527" width="16.7109375" style="75" customWidth="1"/>
    <col min="11528" max="11528" width="14.7109375" style="75" customWidth="1"/>
    <col min="11529" max="11529" width="18.42578125" style="75" customWidth="1"/>
    <col min="11530" max="11530" width="16.7109375" style="75" customWidth="1"/>
    <col min="11531" max="11531" width="4.140625" style="75" customWidth="1"/>
    <col min="11532" max="11532" width="7.28515625" style="75" customWidth="1"/>
    <col min="11533" max="11533" width="11.140625" style="75" bestFit="1" customWidth="1"/>
    <col min="11534" max="11534" width="16.5703125" style="75" customWidth="1"/>
    <col min="11535" max="11535" width="16.7109375" style="75" customWidth="1"/>
    <col min="11536" max="11536" width="15.28515625" style="75" customWidth="1"/>
    <col min="11537" max="11537" width="25.5703125" style="75" bestFit="1" customWidth="1"/>
    <col min="11538" max="11538" width="9.42578125" style="75" customWidth="1"/>
    <col min="11539" max="11539" width="6.7109375" style="75" customWidth="1"/>
    <col min="11540" max="11540" width="14.85546875" style="75" customWidth="1"/>
    <col min="11541" max="11541" width="15.7109375" style="75" customWidth="1"/>
    <col min="11542" max="11542" width="14.85546875" style="75" customWidth="1"/>
    <col min="11543" max="11543" width="12.5703125" style="75" bestFit="1" customWidth="1"/>
    <col min="11544" max="11544" width="12.85546875" style="75" customWidth="1"/>
    <col min="11545" max="11545" width="13.7109375" style="75" bestFit="1" customWidth="1"/>
    <col min="11546" max="11546" width="14.28515625" style="75" bestFit="1" customWidth="1"/>
    <col min="11547" max="11547" width="17.28515625" style="75" customWidth="1"/>
    <col min="11548" max="11548" width="13.140625" style="75" bestFit="1" customWidth="1"/>
    <col min="11549" max="11549" width="16.28515625" style="75" bestFit="1" customWidth="1"/>
    <col min="11550" max="11550" width="13.140625" style="75" bestFit="1" customWidth="1"/>
    <col min="11551" max="11553" width="14.7109375" style="75" bestFit="1" customWidth="1"/>
    <col min="11554" max="11554" width="16.28515625" style="75" bestFit="1" customWidth="1"/>
    <col min="11555" max="11555" width="17.7109375" style="75" bestFit="1" customWidth="1"/>
    <col min="11556" max="11557" width="14.7109375" style="75" bestFit="1" customWidth="1"/>
    <col min="11558" max="11558" width="14.7109375" style="75" customWidth="1"/>
    <col min="11559" max="11559" width="27" style="75" customWidth="1"/>
    <col min="11560" max="11561" width="16.28515625" style="75" bestFit="1" customWidth="1"/>
    <col min="11562" max="11562" width="46.28515625" style="75" bestFit="1" customWidth="1"/>
    <col min="11563" max="11563" width="23.85546875" style="75" customWidth="1"/>
    <col min="11564" max="11564" width="17.140625" style="75" bestFit="1" customWidth="1"/>
    <col min="11565" max="11565" width="18.5703125" style="75" bestFit="1" customWidth="1"/>
    <col min="11566" max="11567" width="20.5703125" style="75" customWidth="1"/>
    <col min="11568" max="11568" width="11.42578125" style="75" bestFit="1" customWidth="1"/>
    <col min="11569" max="11773" width="9.140625" style="75"/>
    <col min="11774" max="11774" width="8" style="75" customWidth="1"/>
    <col min="11775" max="11775" width="7.140625" style="75" customWidth="1"/>
    <col min="11776" max="11776" width="17" style="75" bestFit="1" customWidth="1"/>
    <col min="11777" max="11777" width="20.28515625" style="75" bestFit="1" customWidth="1"/>
    <col min="11778" max="11778" width="2.7109375" style="75" customWidth="1"/>
    <col min="11779" max="11779" width="5.5703125" style="75" customWidth="1"/>
    <col min="11780" max="11780" width="14.42578125" style="75" customWidth="1"/>
    <col min="11781" max="11781" width="18.42578125" style="75" customWidth="1"/>
    <col min="11782" max="11782" width="13" style="75" customWidth="1"/>
    <col min="11783" max="11783" width="16.7109375" style="75" customWidth="1"/>
    <col min="11784" max="11784" width="14.7109375" style="75" customWidth="1"/>
    <col min="11785" max="11785" width="18.42578125" style="75" customWidth="1"/>
    <col min="11786" max="11786" width="16.7109375" style="75" customWidth="1"/>
    <col min="11787" max="11787" width="4.140625" style="75" customWidth="1"/>
    <col min="11788" max="11788" width="7.28515625" style="75" customWidth="1"/>
    <col min="11789" max="11789" width="11.140625" style="75" bestFit="1" customWidth="1"/>
    <col min="11790" max="11790" width="16.5703125" style="75" customWidth="1"/>
    <col min="11791" max="11791" width="16.7109375" style="75" customWidth="1"/>
    <col min="11792" max="11792" width="15.28515625" style="75" customWidth="1"/>
    <col min="11793" max="11793" width="25.5703125" style="75" bestFit="1" customWidth="1"/>
    <col min="11794" max="11794" width="9.42578125" style="75" customWidth="1"/>
    <col min="11795" max="11795" width="6.7109375" style="75" customWidth="1"/>
    <col min="11796" max="11796" width="14.85546875" style="75" customWidth="1"/>
    <col min="11797" max="11797" width="15.7109375" style="75" customWidth="1"/>
    <col min="11798" max="11798" width="14.85546875" style="75" customWidth="1"/>
    <col min="11799" max="11799" width="12.5703125" style="75" bestFit="1" customWidth="1"/>
    <col min="11800" max="11800" width="12.85546875" style="75" customWidth="1"/>
    <col min="11801" max="11801" width="13.7109375" style="75" bestFit="1" customWidth="1"/>
    <col min="11802" max="11802" width="14.28515625" style="75" bestFit="1" customWidth="1"/>
    <col min="11803" max="11803" width="17.28515625" style="75" customWidth="1"/>
    <col min="11804" max="11804" width="13.140625" style="75" bestFit="1" customWidth="1"/>
    <col min="11805" max="11805" width="16.28515625" style="75" bestFit="1" customWidth="1"/>
    <col min="11806" max="11806" width="13.140625" style="75" bestFit="1" customWidth="1"/>
    <col min="11807" max="11809" width="14.7109375" style="75" bestFit="1" customWidth="1"/>
    <col min="11810" max="11810" width="16.28515625" style="75" bestFit="1" customWidth="1"/>
    <col min="11811" max="11811" width="17.7109375" style="75" bestFit="1" customWidth="1"/>
    <col min="11812" max="11813" width="14.7109375" style="75" bestFit="1" customWidth="1"/>
    <col min="11814" max="11814" width="14.7109375" style="75" customWidth="1"/>
    <col min="11815" max="11815" width="27" style="75" customWidth="1"/>
    <col min="11816" max="11817" width="16.28515625" style="75" bestFit="1" customWidth="1"/>
    <col min="11818" max="11818" width="46.28515625" style="75" bestFit="1" customWidth="1"/>
    <col min="11819" max="11819" width="23.85546875" style="75" customWidth="1"/>
    <col min="11820" max="11820" width="17.140625" style="75" bestFit="1" customWidth="1"/>
    <col min="11821" max="11821" width="18.5703125" style="75" bestFit="1" customWidth="1"/>
    <col min="11822" max="11823" width="20.5703125" style="75" customWidth="1"/>
    <col min="11824" max="11824" width="11.42578125" style="75" bestFit="1" customWidth="1"/>
    <col min="11825" max="12029" width="9.140625" style="75"/>
    <col min="12030" max="12030" width="8" style="75" customWidth="1"/>
    <col min="12031" max="12031" width="7.140625" style="75" customWidth="1"/>
    <col min="12032" max="12032" width="17" style="75" bestFit="1" customWidth="1"/>
    <col min="12033" max="12033" width="20.28515625" style="75" bestFit="1" customWidth="1"/>
    <col min="12034" max="12034" width="2.7109375" style="75" customWidth="1"/>
    <col min="12035" max="12035" width="5.5703125" style="75" customWidth="1"/>
    <col min="12036" max="12036" width="14.42578125" style="75" customWidth="1"/>
    <col min="12037" max="12037" width="18.42578125" style="75" customWidth="1"/>
    <col min="12038" max="12038" width="13" style="75" customWidth="1"/>
    <col min="12039" max="12039" width="16.7109375" style="75" customWidth="1"/>
    <col min="12040" max="12040" width="14.7109375" style="75" customWidth="1"/>
    <col min="12041" max="12041" width="18.42578125" style="75" customWidth="1"/>
    <col min="12042" max="12042" width="16.7109375" style="75" customWidth="1"/>
    <col min="12043" max="12043" width="4.140625" style="75" customWidth="1"/>
    <col min="12044" max="12044" width="7.28515625" style="75" customWidth="1"/>
    <col min="12045" max="12045" width="11.140625" style="75" bestFit="1" customWidth="1"/>
    <col min="12046" max="12046" width="16.5703125" style="75" customWidth="1"/>
    <col min="12047" max="12047" width="16.7109375" style="75" customWidth="1"/>
    <col min="12048" max="12048" width="15.28515625" style="75" customWidth="1"/>
    <col min="12049" max="12049" width="25.5703125" style="75" bestFit="1" customWidth="1"/>
    <col min="12050" max="12050" width="9.42578125" style="75" customWidth="1"/>
    <col min="12051" max="12051" width="6.7109375" style="75" customWidth="1"/>
    <col min="12052" max="12052" width="14.85546875" style="75" customWidth="1"/>
    <col min="12053" max="12053" width="15.7109375" style="75" customWidth="1"/>
    <col min="12054" max="12054" width="14.85546875" style="75" customWidth="1"/>
    <col min="12055" max="12055" width="12.5703125" style="75" bestFit="1" customWidth="1"/>
    <col min="12056" max="12056" width="12.85546875" style="75" customWidth="1"/>
    <col min="12057" max="12057" width="13.7109375" style="75" bestFit="1" customWidth="1"/>
    <col min="12058" max="12058" width="14.28515625" style="75" bestFit="1" customWidth="1"/>
    <col min="12059" max="12059" width="17.28515625" style="75" customWidth="1"/>
    <col min="12060" max="12060" width="13.140625" style="75" bestFit="1" customWidth="1"/>
    <col min="12061" max="12061" width="16.28515625" style="75" bestFit="1" customWidth="1"/>
    <col min="12062" max="12062" width="13.140625" style="75" bestFit="1" customWidth="1"/>
    <col min="12063" max="12065" width="14.7109375" style="75" bestFit="1" customWidth="1"/>
    <col min="12066" max="12066" width="16.28515625" style="75" bestFit="1" customWidth="1"/>
    <col min="12067" max="12067" width="17.7109375" style="75" bestFit="1" customWidth="1"/>
    <col min="12068" max="12069" width="14.7109375" style="75" bestFit="1" customWidth="1"/>
    <col min="12070" max="12070" width="14.7109375" style="75" customWidth="1"/>
    <col min="12071" max="12071" width="27" style="75" customWidth="1"/>
    <col min="12072" max="12073" width="16.28515625" style="75" bestFit="1" customWidth="1"/>
    <col min="12074" max="12074" width="46.28515625" style="75" bestFit="1" customWidth="1"/>
    <col min="12075" max="12075" width="23.85546875" style="75" customWidth="1"/>
    <col min="12076" max="12076" width="17.140625" style="75" bestFit="1" customWidth="1"/>
    <col min="12077" max="12077" width="18.5703125" style="75" bestFit="1" customWidth="1"/>
    <col min="12078" max="12079" width="20.5703125" style="75" customWidth="1"/>
    <col min="12080" max="12080" width="11.42578125" style="75" bestFit="1" customWidth="1"/>
    <col min="12081" max="12285" width="9.140625" style="75"/>
    <col min="12286" max="12286" width="8" style="75" customWidth="1"/>
    <col min="12287" max="12287" width="7.140625" style="75" customWidth="1"/>
    <col min="12288" max="12288" width="17" style="75" bestFit="1" customWidth="1"/>
    <col min="12289" max="12289" width="20.28515625" style="75" bestFit="1" customWidth="1"/>
    <col min="12290" max="12290" width="2.7109375" style="75" customWidth="1"/>
    <col min="12291" max="12291" width="5.5703125" style="75" customWidth="1"/>
    <col min="12292" max="12292" width="14.42578125" style="75" customWidth="1"/>
    <col min="12293" max="12293" width="18.42578125" style="75" customWidth="1"/>
    <col min="12294" max="12294" width="13" style="75" customWidth="1"/>
    <col min="12295" max="12295" width="16.7109375" style="75" customWidth="1"/>
    <col min="12296" max="12296" width="14.7109375" style="75" customWidth="1"/>
    <col min="12297" max="12297" width="18.42578125" style="75" customWidth="1"/>
    <col min="12298" max="12298" width="16.7109375" style="75" customWidth="1"/>
    <col min="12299" max="12299" width="4.140625" style="75" customWidth="1"/>
    <col min="12300" max="12300" width="7.28515625" style="75" customWidth="1"/>
    <col min="12301" max="12301" width="11.140625" style="75" bestFit="1" customWidth="1"/>
    <col min="12302" max="12302" width="16.5703125" style="75" customWidth="1"/>
    <col min="12303" max="12303" width="16.7109375" style="75" customWidth="1"/>
    <col min="12304" max="12304" width="15.28515625" style="75" customWidth="1"/>
    <col min="12305" max="12305" width="25.5703125" style="75" bestFit="1" customWidth="1"/>
    <col min="12306" max="12306" width="9.42578125" style="75" customWidth="1"/>
    <col min="12307" max="12307" width="6.7109375" style="75" customWidth="1"/>
    <col min="12308" max="12308" width="14.85546875" style="75" customWidth="1"/>
    <col min="12309" max="12309" width="15.7109375" style="75" customWidth="1"/>
    <col min="12310" max="12310" width="14.85546875" style="75" customWidth="1"/>
    <col min="12311" max="12311" width="12.5703125" style="75" bestFit="1" customWidth="1"/>
    <col min="12312" max="12312" width="12.85546875" style="75" customWidth="1"/>
    <col min="12313" max="12313" width="13.7109375" style="75" bestFit="1" customWidth="1"/>
    <col min="12314" max="12314" width="14.28515625" style="75" bestFit="1" customWidth="1"/>
    <col min="12315" max="12315" width="17.28515625" style="75" customWidth="1"/>
    <col min="12316" max="12316" width="13.140625" style="75" bestFit="1" customWidth="1"/>
    <col min="12317" max="12317" width="16.28515625" style="75" bestFit="1" customWidth="1"/>
    <col min="12318" max="12318" width="13.140625" style="75" bestFit="1" customWidth="1"/>
    <col min="12319" max="12321" width="14.7109375" style="75" bestFit="1" customWidth="1"/>
    <col min="12322" max="12322" width="16.28515625" style="75" bestFit="1" customWidth="1"/>
    <col min="12323" max="12323" width="17.7109375" style="75" bestFit="1" customWidth="1"/>
    <col min="12324" max="12325" width="14.7109375" style="75" bestFit="1" customWidth="1"/>
    <col min="12326" max="12326" width="14.7109375" style="75" customWidth="1"/>
    <col min="12327" max="12327" width="27" style="75" customWidth="1"/>
    <col min="12328" max="12329" width="16.28515625" style="75" bestFit="1" customWidth="1"/>
    <col min="12330" max="12330" width="46.28515625" style="75" bestFit="1" customWidth="1"/>
    <col min="12331" max="12331" width="23.85546875" style="75" customWidth="1"/>
    <col min="12332" max="12332" width="17.140625" style="75" bestFit="1" customWidth="1"/>
    <col min="12333" max="12333" width="18.5703125" style="75" bestFit="1" customWidth="1"/>
    <col min="12334" max="12335" width="20.5703125" style="75" customWidth="1"/>
    <col min="12336" max="12336" width="11.42578125" style="75" bestFit="1" customWidth="1"/>
    <col min="12337" max="12541" width="9.140625" style="75"/>
    <col min="12542" max="12542" width="8" style="75" customWidth="1"/>
    <col min="12543" max="12543" width="7.140625" style="75" customWidth="1"/>
    <col min="12544" max="12544" width="17" style="75" bestFit="1" customWidth="1"/>
    <col min="12545" max="12545" width="20.28515625" style="75" bestFit="1" customWidth="1"/>
    <col min="12546" max="12546" width="2.7109375" style="75" customWidth="1"/>
    <col min="12547" max="12547" width="5.5703125" style="75" customWidth="1"/>
    <col min="12548" max="12548" width="14.42578125" style="75" customWidth="1"/>
    <col min="12549" max="12549" width="18.42578125" style="75" customWidth="1"/>
    <col min="12550" max="12550" width="13" style="75" customWidth="1"/>
    <col min="12551" max="12551" width="16.7109375" style="75" customWidth="1"/>
    <col min="12552" max="12552" width="14.7109375" style="75" customWidth="1"/>
    <col min="12553" max="12553" width="18.42578125" style="75" customWidth="1"/>
    <col min="12554" max="12554" width="16.7109375" style="75" customWidth="1"/>
    <col min="12555" max="12555" width="4.140625" style="75" customWidth="1"/>
    <col min="12556" max="12556" width="7.28515625" style="75" customWidth="1"/>
    <col min="12557" max="12557" width="11.140625" style="75" bestFit="1" customWidth="1"/>
    <col min="12558" max="12558" width="16.5703125" style="75" customWidth="1"/>
    <col min="12559" max="12559" width="16.7109375" style="75" customWidth="1"/>
    <col min="12560" max="12560" width="15.28515625" style="75" customWidth="1"/>
    <col min="12561" max="12561" width="25.5703125" style="75" bestFit="1" customWidth="1"/>
    <col min="12562" max="12562" width="9.42578125" style="75" customWidth="1"/>
    <col min="12563" max="12563" width="6.7109375" style="75" customWidth="1"/>
    <col min="12564" max="12564" width="14.85546875" style="75" customWidth="1"/>
    <col min="12565" max="12565" width="15.7109375" style="75" customWidth="1"/>
    <col min="12566" max="12566" width="14.85546875" style="75" customWidth="1"/>
    <col min="12567" max="12567" width="12.5703125" style="75" bestFit="1" customWidth="1"/>
    <col min="12568" max="12568" width="12.85546875" style="75" customWidth="1"/>
    <col min="12569" max="12569" width="13.7109375" style="75" bestFit="1" customWidth="1"/>
    <col min="12570" max="12570" width="14.28515625" style="75" bestFit="1" customWidth="1"/>
    <col min="12571" max="12571" width="17.28515625" style="75" customWidth="1"/>
    <col min="12572" max="12572" width="13.140625" style="75" bestFit="1" customWidth="1"/>
    <col min="12573" max="12573" width="16.28515625" style="75" bestFit="1" customWidth="1"/>
    <col min="12574" max="12574" width="13.140625" style="75" bestFit="1" customWidth="1"/>
    <col min="12575" max="12577" width="14.7109375" style="75" bestFit="1" customWidth="1"/>
    <col min="12578" max="12578" width="16.28515625" style="75" bestFit="1" customWidth="1"/>
    <col min="12579" max="12579" width="17.7109375" style="75" bestFit="1" customWidth="1"/>
    <col min="12580" max="12581" width="14.7109375" style="75" bestFit="1" customWidth="1"/>
    <col min="12582" max="12582" width="14.7109375" style="75" customWidth="1"/>
    <col min="12583" max="12583" width="27" style="75" customWidth="1"/>
    <col min="12584" max="12585" width="16.28515625" style="75" bestFit="1" customWidth="1"/>
    <col min="12586" max="12586" width="46.28515625" style="75" bestFit="1" customWidth="1"/>
    <col min="12587" max="12587" width="23.85546875" style="75" customWidth="1"/>
    <col min="12588" max="12588" width="17.140625" style="75" bestFit="1" customWidth="1"/>
    <col min="12589" max="12589" width="18.5703125" style="75" bestFit="1" customWidth="1"/>
    <col min="12590" max="12591" width="20.5703125" style="75" customWidth="1"/>
    <col min="12592" max="12592" width="11.42578125" style="75" bestFit="1" customWidth="1"/>
    <col min="12593" max="12797" width="9.140625" style="75"/>
    <col min="12798" max="12798" width="8" style="75" customWidth="1"/>
    <col min="12799" max="12799" width="7.140625" style="75" customWidth="1"/>
    <col min="12800" max="12800" width="17" style="75" bestFit="1" customWidth="1"/>
    <col min="12801" max="12801" width="20.28515625" style="75" bestFit="1" customWidth="1"/>
    <col min="12802" max="12802" width="2.7109375" style="75" customWidth="1"/>
    <col min="12803" max="12803" width="5.5703125" style="75" customWidth="1"/>
    <col min="12804" max="12804" width="14.42578125" style="75" customWidth="1"/>
    <col min="12805" max="12805" width="18.42578125" style="75" customWidth="1"/>
    <col min="12806" max="12806" width="13" style="75" customWidth="1"/>
    <col min="12807" max="12807" width="16.7109375" style="75" customWidth="1"/>
    <col min="12808" max="12808" width="14.7109375" style="75" customWidth="1"/>
    <col min="12809" max="12809" width="18.42578125" style="75" customWidth="1"/>
    <col min="12810" max="12810" width="16.7109375" style="75" customWidth="1"/>
    <col min="12811" max="12811" width="4.140625" style="75" customWidth="1"/>
    <col min="12812" max="12812" width="7.28515625" style="75" customWidth="1"/>
    <col min="12813" max="12813" width="11.140625" style="75" bestFit="1" customWidth="1"/>
    <col min="12814" max="12814" width="16.5703125" style="75" customWidth="1"/>
    <col min="12815" max="12815" width="16.7109375" style="75" customWidth="1"/>
    <col min="12816" max="12816" width="15.28515625" style="75" customWidth="1"/>
    <col min="12817" max="12817" width="25.5703125" style="75" bestFit="1" customWidth="1"/>
    <col min="12818" max="12818" width="9.42578125" style="75" customWidth="1"/>
    <col min="12819" max="12819" width="6.7109375" style="75" customWidth="1"/>
    <col min="12820" max="12820" width="14.85546875" style="75" customWidth="1"/>
    <col min="12821" max="12821" width="15.7109375" style="75" customWidth="1"/>
    <col min="12822" max="12822" width="14.85546875" style="75" customWidth="1"/>
    <col min="12823" max="12823" width="12.5703125" style="75" bestFit="1" customWidth="1"/>
    <col min="12824" max="12824" width="12.85546875" style="75" customWidth="1"/>
    <col min="12825" max="12825" width="13.7109375" style="75" bestFit="1" customWidth="1"/>
    <col min="12826" max="12826" width="14.28515625" style="75" bestFit="1" customWidth="1"/>
    <col min="12827" max="12827" width="17.28515625" style="75" customWidth="1"/>
    <col min="12828" max="12828" width="13.140625" style="75" bestFit="1" customWidth="1"/>
    <col min="12829" max="12829" width="16.28515625" style="75" bestFit="1" customWidth="1"/>
    <col min="12830" max="12830" width="13.140625" style="75" bestFit="1" customWidth="1"/>
    <col min="12831" max="12833" width="14.7109375" style="75" bestFit="1" customWidth="1"/>
    <col min="12834" max="12834" width="16.28515625" style="75" bestFit="1" customWidth="1"/>
    <col min="12835" max="12835" width="17.7109375" style="75" bestFit="1" customWidth="1"/>
    <col min="12836" max="12837" width="14.7109375" style="75" bestFit="1" customWidth="1"/>
    <col min="12838" max="12838" width="14.7109375" style="75" customWidth="1"/>
    <col min="12839" max="12839" width="27" style="75" customWidth="1"/>
    <col min="12840" max="12841" width="16.28515625" style="75" bestFit="1" customWidth="1"/>
    <col min="12842" max="12842" width="46.28515625" style="75" bestFit="1" customWidth="1"/>
    <col min="12843" max="12843" width="23.85546875" style="75" customWidth="1"/>
    <col min="12844" max="12844" width="17.140625" style="75" bestFit="1" customWidth="1"/>
    <col min="12845" max="12845" width="18.5703125" style="75" bestFit="1" customWidth="1"/>
    <col min="12846" max="12847" width="20.5703125" style="75" customWidth="1"/>
    <col min="12848" max="12848" width="11.42578125" style="75" bestFit="1" customWidth="1"/>
    <col min="12849" max="13053" width="9.140625" style="75"/>
    <col min="13054" max="13054" width="8" style="75" customWidth="1"/>
    <col min="13055" max="13055" width="7.140625" style="75" customWidth="1"/>
    <col min="13056" max="13056" width="17" style="75" bestFit="1" customWidth="1"/>
    <col min="13057" max="13057" width="20.28515625" style="75" bestFit="1" customWidth="1"/>
    <col min="13058" max="13058" width="2.7109375" style="75" customWidth="1"/>
    <col min="13059" max="13059" width="5.5703125" style="75" customWidth="1"/>
    <col min="13060" max="13060" width="14.42578125" style="75" customWidth="1"/>
    <col min="13061" max="13061" width="18.42578125" style="75" customWidth="1"/>
    <col min="13062" max="13062" width="13" style="75" customWidth="1"/>
    <col min="13063" max="13063" width="16.7109375" style="75" customWidth="1"/>
    <col min="13064" max="13064" width="14.7109375" style="75" customWidth="1"/>
    <col min="13065" max="13065" width="18.42578125" style="75" customWidth="1"/>
    <col min="13066" max="13066" width="16.7109375" style="75" customWidth="1"/>
    <col min="13067" max="13067" width="4.140625" style="75" customWidth="1"/>
    <col min="13068" max="13068" width="7.28515625" style="75" customWidth="1"/>
    <col min="13069" max="13069" width="11.140625" style="75" bestFit="1" customWidth="1"/>
    <col min="13070" max="13070" width="16.5703125" style="75" customWidth="1"/>
    <col min="13071" max="13071" width="16.7109375" style="75" customWidth="1"/>
    <col min="13072" max="13072" width="15.28515625" style="75" customWidth="1"/>
    <col min="13073" max="13073" width="25.5703125" style="75" bestFit="1" customWidth="1"/>
    <col min="13074" max="13074" width="9.42578125" style="75" customWidth="1"/>
    <col min="13075" max="13075" width="6.7109375" style="75" customWidth="1"/>
    <col min="13076" max="13076" width="14.85546875" style="75" customWidth="1"/>
    <col min="13077" max="13077" width="15.7109375" style="75" customWidth="1"/>
    <col min="13078" max="13078" width="14.85546875" style="75" customWidth="1"/>
    <col min="13079" max="13079" width="12.5703125" style="75" bestFit="1" customWidth="1"/>
    <col min="13080" max="13080" width="12.85546875" style="75" customWidth="1"/>
    <col min="13081" max="13081" width="13.7109375" style="75" bestFit="1" customWidth="1"/>
    <col min="13082" max="13082" width="14.28515625" style="75" bestFit="1" customWidth="1"/>
    <col min="13083" max="13083" width="17.28515625" style="75" customWidth="1"/>
    <col min="13084" max="13084" width="13.140625" style="75" bestFit="1" customWidth="1"/>
    <col min="13085" max="13085" width="16.28515625" style="75" bestFit="1" customWidth="1"/>
    <col min="13086" max="13086" width="13.140625" style="75" bestFit="1" customWidth="1"/>
    <col min="13087" max="13089" width="14.7109375" style="75" bestFit="1" customWidth="1"/>
    <col min="13090" max="13090" width="16.28515625" style="75" bestFit="1" customWidth="1"/>
    <col min="13091" max="13091" width="17.7109375" style="75" bestFit="1" customWidth="1"/>
    <col min="13092" max="13093" width="14.7109375" style="75" bestFit="1" customWidth="1"/>
    <col min="13094" max="13094" width="14.7109375" style="75" customWidth="1"/>
    <col min="13095" max="13095" width="27" style="75" customWidth="1"/>
    <col min="13096" max="13097" width="16.28515625" style="75" bestFit="1" customWidth="1"/>
    <col min="13098" max="13098" width="46.28515625" style="75" bestFit="1" customWidth="1"/>
    <col min="13099" max="13099" width="23.85546875" style="75" customWidth="1"/>
    <col min="13100" max="13100" width="17.140625" style="75" bestFit="1" customWidth="1"/>
    <col min="13101" max="13101" width="18.5703125" style="75" bestFit="1" customWidth="1"/>
    <col min="13102" max="13103" width="20.5703125" style="75" customWidth="1"/>
    <col min="13104" max="13104" width="11.42578125" style="75" bestFit="1" customWidth="1"/>
    <col min="13105" max="13309" width="9.140625" style="75"/>
    <col min="13310" max="13310" width="8" style="75" customWidth="1"/>
    <col min="13311" max="13311" width="7.140625" style="75" customWidth="1"/>
    <col min="13312" max="13312" width="17" style="75" bestFit="1" customWidth="1"/>
    <col min="13313" max="13313" width="20.28515625" style="75" bestFit="1" customWidth="1"/>
    <col min="13314" max="13314" width="2.7109375" style="75" customWidth="1"/>
    <col min="13315" max="13315" width="5.5703125" style="75" customWidth="1"/>
    <col min="13316" max="13316" width="14.42578125" style="75" customWidth="1"/>
    <col min="13317" max="13317" width="18.42578125" style="75" customWidth="1"/>
    <col min="13318" max="13318" width="13" style="75" customWidth="1"/>
    <col min="13319" max="13319" width="16.7109375" style="75" customWidth="1"/>
    <col min="13320" max="13320" width="14.7109375" style="75" customWidth="1"/>
    <col min="13321" max="13321" width="18.42578125" style="75" customWidth="1"/>
    <col min="13322" max="13322" width="16.7109375" style="75" customWidth="1"/>
    <col min="13323" max="13323" width="4.140625" style="75" customWidth="1"/>
    <col min="13324" max="13324" width="7.28515625" style="75" customWidth="1"/>
    <col min="13325" max="13325" width="11.140625" style="75" bestFit="1" customWidth="1"/>
    <col min="13326" max="13326" width="16.5703125" style="75" customWidth="1"/>
    <col min="13327" max="13327" width="16.7109375" style="75" customWidth="1"/>
    <col min="13328" max="13328" width="15.28515625" style="75" customWidth="1"/>
    <col min="13329" max="13329" width="25.5703125" style="75" bestFit="1" customWidth="1"/>
    <col min="13330" max="13330" width="9.42578125" style="75" customWidth="1"/>
    <col min="13331" max="13331" width="6.7109375" style="75" customWidth="1"/>
    <col min="13332" max="13332" width="14.85546875" style="75" customWidth="1"/>
    <col min="13333" max="13333" width="15.7109375" style="75" customWidth="1"/>
    <col min="13334" max="13334" width="14.85546875" style="75" customWidth="1"/>
    <col min="13335" max="13335" width="12.5703125" style="75" bestFit="1" customWidth="1"/>
    <col min="13336" max="13336" width="12.85546875" style="75" customWidth="1"/>
    <col min="13337" max="13337" width="13.7109375" style="75" bestFit="1" customWidth="1"/>
    <col min="13338" max="13338" width="14.28515625" style="75" bestFit="1" customWidth="1"/>
    <col min="13339" max="13339" width="17.28515625" style="75" customWidth="1"/>
    <col min="13340" max="13340" width="13.140625" style="75" bestFit="1" customWidth="1"/>
    <col min="13341" max="13341" width="16.28515625" style="75" bestFit="1" customWidth="1"/>
    <col min="13342" max="13342" width="13.140625" style="75" bestFit="1" customWidth="1"/>
    <col min="13343" max="13345" width="14.7109375" style="75" bestFit="1" customWidth="1"/>
    <col min="13346" max="13346" width="16.28515625" style="75" bestFit="1" customWidth="1"/>
    <col min="13347" max="13347" width="17.7109375" style="75" bestFit="1" customWidth="1"/>
    <col min="13348" max="13349" width="14.7109375" style="75" bestFit="1" customWidth="1"/>
    <col min="13350" max="13350" width="14.7109375" style="75" customWidth="1"/>
    <col min="13351" max="13351" width="27" style="75" customWidth="1"/>
    <col min="13352" max="13353" width="16.28515625" style="75" bestFit="1" customWidth="1"/>
    <col min="13354" max="13354" width="46.28515625" style="75" bestFit="1" customWidth="1"/>
    <col min="13355" max="13355" width="23.85546875" style="75" customWidth="1"/>
    <col min="13356" max="13356" width="17.140625" style="75" bestFit="1" customWidth="1"/>
    <col min="13357" max="13357" width="18.5703125" style="75" bestFit="1" customWidth="1"/>
    <col min="13358" max="13359" width="20.5703125" style="75" customWidth="1"/>
    <col min="13360" max="13360" width="11.42578125" style="75" bestFit="1" customWidth="1"/>
    <col min="13361" max="13565" width="9.140625" style="75"/>
    <col min="13566" max="13566" width="8" style="75" customWidth="1"/>
    <col min="13567" max="13567" width="7.140625" style="75" customWidth="1"/>
    <col min="13568" max="13568" width="17" style="75" bestFit="1" customWidth="1"/>
    <col min="13569" max="13569" width="20.28515625" style="75" bestFit="1" customWidth="1"/>
    <col min="13570" max="13570" width="2.7109375" style="75" customWidth="1"/>
    <col min="13571" max="13571" width="5.5703125" style="75" customWidth="1"/>
    <col min="13572" max="13572" width="14.42578125" style="75" customWidth="1"/>
    <col min="13573" max="13573" width="18.42578125" style="75" customWidth="1"/>
    <col min="13574" max="13574" width="13" style="75" customWidth="1"/>
    <col min="13575" max="13575" width="16.7109375" style="75" customWidth="1"/>
    <col min="13576" max="13576" width="14.7109375" style="75" customWidth="1"/>
    <col min="13577" max="13577" width="18.42578125" style="75" customWidth="1"/>
    <col min="13578" max="13578" width="16.7109375" style="75" customWidth="1"/>
    <col min="13579" max="13579" width="4.140625" style="75" customWidth="1"/>
    <col min="13580" max="13580" width="7.28515625" style="75" customWidth="1"/>
    <col min="13581" max="13581" width="11.140625" style="75" bestFit="1" customWidth="1"/>
    <col min="13582" max="13582" width="16.5703125" style="75" customWidth="1"/>
    <col min="13583" max="13583" width="16.7109375" style="75" customWidth="1"/>
    <col min="13584" max="13584" width="15.28515625" style="75" customWidth="1"/>
    <col min="13585" max="13585" width="25.5703125" style="75" bestFit="1" customWidth="1"/>
    <col min="13586" max="13586" width="9.42578125" style="75" customWidth="1"/>
    <col min="13587" max="13587" width="6.7109375" style="75" customWidth="1"/>
    <col min="13588" max="13588" width="14.85546875" style="75" customWidth="1"/>
    <col min="13589" max="13589" width="15.7109375" style="75" customWidth="1"/>
    <col min="13590" max="13590" width="14.85546875" style="75" customWidth="1"/>
    <col min="13591" max="13591" width="12.5703125" style="75" bestFit="1" customWidth="1"/>
    <col min="13592" max="13592" width="12.85546875" style="75" customWidth="1"/>
    <col min="13593" max="13593" width="13.7109375" style="75" bestFit="1" customWidth="1"/>
    <col min="13594" max="13594" width="14.28515625" style="75" bestFit="1" customWidth="1"/>
    <col min="13595" max="13595" width="17.28515625" style="75" customWidth="1"/>
    <col min="13596" max="13596" width="13.140625" style="75" bestFit="1" customWidth="1"/>
    <col min="13597" max="13597" width="16.28515625" style="75" bestFit="1" customWidth="1"/>
    <col min="13598" max="13598" width="13.140625" style="75" bestFit="1" customWidth="1"/>
    <col min="13599" max="13601" width="14.7109375" style="75" bestFit="1" customWidth="1"/>
    <col min="13602" max="13602" width="16.28515625" style="75" bestFit="1" customWidth="1"/>
    <col min="13603" max="13603" width="17.7109375" style="75" bestFit="1" customWidth="1"/>
    <col min="13604" max="13605" width="14.7109375" style="75" bestFit="1" customWidth="1"/>
    <col min="13606" max="13606" width="14.7109375" style="75" customWidth="1"/>
    <col min="13607" max="13607" width="27" style="75" customWidth="1"/>
    <col min="13608" max="13609" width="16.28515625" style="75" bestFit="1" customWidth="1"/>
    <col min="13610" max="13610" width="46.28515625" style="75" bestFit="1" customWidth="1"/>
    <col min="13611" max="13611" width="23.85546875" style="75" customWidth="1"/>
    <col min="13612" max="13612" width="17.140625" style="75" bestFit="1" customWidth="1"/>
    <col min="13613" max="13613" width="18.5703125" style="75" bestFit="1" customWidth="1"/>
    <col min="13614" max="13615" width="20.5703125" style="75" customWidth="1"/>
    <col min="13616" max="13616" width="11.42578125" style="75" bestFit="1" customWidth="1"/>
    <col min="13617" max="13821" width="9.140625" style="75"/>
    <col min="13822" max="13822" width="8" style="75" customWidth="1"/>
    <col min="13823" max="13823" width="7.140625" style="75" customWidth="1"/>
    <col min="13824" max="13824" width="17" style="75" bestFit="1" customWidth="1"/>
    <col min="13825" max="13825" width="20.28515625" style="75" bestFit="1" customWidth="1"/>
    <col min="13826" max="13826" width="2.7109375" style="75" customWidth="1"/>
    <col min="13827" max="13827" width="5.5703125" style="75" customWidth="1"/>
    <col min="13828" max="13828" width="14.42578125" style="75" customWidth="1"/>
    <col min="13829" max="13829" width="18.42578125" style="75" customWidth="1"/>
    <col min="13830" max="13830" width="13" style="75" customWidth="1"/>
    <col min="13831" max="13831" width="16.7109375" style="75" customWidth="1"/>
    <col min="13832" max="13832" width="14.7109375" style="75" customWidth="1"/>
    <col min="13833" max="13833" width="18.42578125" style="75" customWidth="1"/>
    <col min="13834" max="13834" width="16.7109375" style="75" customWidth="1"/>
    <col min="13835" max="13835" width="4.140625" style="75" customWidth="1"/>
    <col min="13836" max="13836" width="7.28515625" style="75" customWidth="1"/>
    <col min="13837" max="13837" width="11.140625" style="75" bestFit="1" customWidth="1"/>
    <col min="13838" max="13838" width="16.5703125" style="75" customWidth="1"/>
    <col min="13839" max="13839" width="16.7109375" style="75" customWidth="1"/>
    <col min="13840" max="13840" width="15.28515625" style="75" customWidth="1"/>
    <col min="13841" max="13841" width="25.5703125" style="75" bestFit="1" customWidth="1"/>
    <col min="13842" max="13842" width="9.42578125" style="75" customWidth="1"/>
    <col min="13843" max="13843" width="6.7109375" style="75" customWidth="1"/>
    <col min="13844" max="13844" width="14.85546875" style="75" customWidth="1"/>
    <col min="13845" max="13845" width="15.7109375" style="75" customWidth="1"/>
    <col min="13846" max="13846" width="14.85546875" style="75" customWidth="1"/>
    <col min="13847" max="13847" width="12.5703125" style="75" bestFit="1" customWidth="1"/>
    <col min="13848" max="13848" width="12.85546875" style="75" customWidth="1"/>
    <col min="13849" max="13849" width="13.7109375" style="75" bestFit="1" customWidth="1"/>
    <col min="13850" max="13850" width="14.28515625" style="75" bestFit="1" customWidth="1"/>
    <col min="13851" max="13851" width="17.28515625" style="75" customWidth="1"/>
    <col min="13852" max="13852" width="13.140625" style="75" bestFit="1" customWidth="1"/>
    <col min="13853" max="13853" width="16.28515625" style="75" bestFit="1" customWidth="1"/>
    <col min="13854" max="13854" width="13.140625" style="75" bestFit="1" customWidth="1"/>
    <col min="13855" max="13857" width="14.7109375" style="75" bestFit="1" customWidth="1"/>
    <col min="13858" max="13858" width="16.28515625" style="75" bestFit="1" customWidth="1"/>
    <col min="13859" max="13859" width="17.7109375" style="75" bestFit="1" customWidth="1"/>
    <col min="13860" max="13861" width="14.7109375" style="75" bestFit="1" customWidth="1"/>
    <col min="13862" max="13862" width="14.7109375" style="75" customWidth="1"/>
    <col min="13863" max="13863" width="27" style="75" customWidth="1"/>
    <col min="13864" max="13865" width="16.28515625" style="75" bestFit="1" customWidth="1"/>
    <col min="13866" max="13866" width="46.28515625" style="75" bestFit="1" customWidth="1"/>
    <col min="13867" max="13867" width="23.85546875" style="75" customWidth="1"/>
    <col min="13868" max="13868" width="17.140625" style="75" bestFit="1" customWidth="1"/>
    <col min="13869" max="13869" width="18.5703125" style="75" bestFit="1" customWidth="1"/>
    <col min="13870" max="13871" width="20.5703125" style="75" customWidth="1"/>
    <col min="13872" max="13872" width="11.42578125" style="75" bestFit="1" customWidth="1"/>
    <col min="13873" max="14077" width="9.140625" style="75"/>
    <col min="14078" max="14078" width="8" style="75" customWidth="1"/>
    <col min="14079" max="14079" width="7.140625" style="75" customWidth="1"/>
    <col min="14080" max="14080" width="17" style="75" bestFit="1" customWidth="1"/>
    <col min="14081" max="14081" width="20.28515625" style="75" bestFit="1" customWidth="1"/>
    <col min="14082" max="14082" width="2.7109375" style="75" customWidth="1"/>
    <col min="14083" max="14083" width="5.5703125" style="75" customWidth="1"/>
    <col min="14084" max="14084" width="14.42578125" style="75" customWidth="1"/>
    <col min="14085" max="14085" width="18.42578125" style="75" customWidth="1"/>
    <col min="14086" max="14086" width="13" style="75" customWidth="1"/>
    <col min="14087" max="14087" width="16.7109375" style="75" customWidth="1"/>
    <col min="14088" max="14088" width="14.7109375" style="75" customWidth="1"/>
    <col min="14089" max="14089" width="18.42578125" style="75" customWidth="1"/>
    <col min="14090" max="14090" width="16.7109375" style="75" customWidth="1"/>
    <col min="14091" max="14091" width="4.140625" style="75" customWidth="1"/>
    <col min="14092" max="14092" width="7.28515625" style="75" customWidth="1"/>
    <col min="14093" max="14093" width="11.140625" style="75" bestFit="1" customWidth="1"/>
    <col min="14094" max="14094" width="16.5703125" style="75" customWidth="1"/>
    <col min="14095" max="14095" width="16.7109375" style="75" customWidth="1"/>
    <col min="14096" max="14096" width="15.28515625" style="75" customWidth="1"/>
    <col min="14097" max="14097" width="25.5703125" style="75" bestFit="1" customWidth="1"/>
    <col min="14098" max="14098" width="9.42578125" style="75" customWidth="1"/>
    <col min="14099" max="14099" width="6.7109375" style="75" customWidth="1"/>
    <col min="14100" max="14100" width="14.85546875" style="75" customWidth="1"/>
    <col min="14101" max="14101" width="15.7109375" style="75" customWidth="1"/>
    <col min="14102" max="14102" width="14.85546875" style="75" customWidth="1"/>
    <col min="14103" max="14103" width="12.5703125" style="75" bestFit="1" customWidth="1"/>
    <col min="14104" max="14104" width="12.85546875" style="75" customWidth="1"/>
    <col min="14105" max="14105" width="13.7109375" style="75" bestFit="1" customWidth="1"/>
    <col min="14106" max="14106" width="14.28515625" style="75" bestFit="1" customWidth="1"/>
    <col min="14107" max="14107" width="17.28515625" style="75" customWidth="1"/>
    <col min="14108" max="14108" width="13.140625" style="75" bestFit="1" customWidth="1"/>
    <col min="14109" max="14109" width="16.28515625" style="75" bestFit="1" customWidth="1"/>
    <col min="14110" max="14110" width="13.140625" style="75" bestFit="1" customWidth="1"/>
    <col min="14111" max="14113" width="14.7109375" style="75" bestFit="1" customWidth="1"/>
    <col min="14114" max="14114" width="16.28515625" style="75" bestFit="1" customWidth="1"/>
    <col min="14115" max="14115" width="17.7109375" style="75" bestFit="1" customWidth="1"/>
    <col min="14116" max="14117" width="14.7109375" style="75" bestFit="1" customWidth="1"/>
    <col min="14118" max="14118" width="14.7109375" style="75" customWidth="1"/>
    <col min="14119" max="14119" width="27" style="75" customWidth="1"/>
    <col min="14120" max="14121" width="16.28515625" style="75" bestFit="1" customWidth="1"/>
    <col min="14122" max="14122" width="46.28515625" style="75" bestFit="1" customWidth="1"/>
    <col min="14123" max="14123" width="23.85546875" style="75" customWidth="1"/>
    <col min="14124" max="14124" width="17.140625" style="75" bestFit="1" customWidth="1"/>
    <col min="14125" max="14125" width="18.5703125" style="75" bestFit="1" customWidth="1"/>
    <col min="14126" max="14127" width="20.5703125" style="75" customWidth="1"/>
    <col min="14128" max="14128" width="11.42578125" style="75" bestFit="1" customWidth="1"/>
    <col min="14129" max="14333" width="9.140625" style="75"/>
    <col min="14334" max="14334" width="8" style="75" customWidth="1"/>
    <col min="14335" max="14335" width="7.140625" style="75" customWidth="1"/>
    <col min="14336" max="14336" width="17" style="75" bestFit="1" customWidth="1"/>
    <col min="14337" max="14337" width="20.28515625" style="75" bestFit="1" customWidth="1"/>
    <col min="14338" max="14338" width="2.7109375" style="75" customWidth="1"/>
    <col min="14339" max="14339" width="5.5703125" style="75" customWidth="1"/>
    <col min="14340" max="14340" width="14.42578125" style="75" customWidth="1"/>
    <col min="14341" max="14341" width="18.42578125" style="75" customWidth="1"/>
    <col min="14342" max="14342" width="13" style="75" customWidth="1"/>
    <col min="14343" max="14343" width="16.7109375" style="75" customWidth="1"/>
    <col min="14344" max="14344" width="14.7109375" style="75" customWidth="1"/>
    <col min="14345" max="14345" width="18.42578125" style="75" customWidth="1"/>
    <col min="14346" max="14346" width="16.7109375" style="75" customWidth="1"/>
    <col min="14347" max="14347" width="4.140625" style="75" customWidth="1"/>
    <col min="14348" max="14348" width="7.28515625" style="75" customWidth="1"/>
    <col min="14349" max="14349" width="11.140625" style="75" bestFit="1" customWidth="1"/>
    <col min="14350" max="14350" width="16.5703125" style="75" customWidth="1"/>
    <col min="14351" max="14351" width="16.7109375" style="75" customWidth="1"/>
    <col min="14352" max="14352" width="15.28515625" style="75" customWidth="1"/>
    <col min="14353" max="14353" width="25.5703125" style="75" bestFit="1" customWidth="1"/>
    <col min="14354" max="14354" width="9.42578125" style="75" customWidth="1"/>
    <col min="14355" max="14355" width="6.7109375" style="75" customWidth="1"/>
    <col min="14356" max="14356" width="14.85546875" style="75" customWidth="1"/>
    <col min="14357" max="14357" width="15.7109375" style="75" customWidth="1"/>
    <col min="14358" max="14358" width="14.85546875" style="75" customWidth="1"/>
    <col min="14359" max="14359" width="12.5703125" style="75" bestFit="1" customWidth="1"/>
    <col min="14360" max="14360" width="12.85546875" style="75" customWidth="1"/>
    <col min="14361" max="14361" width="13.7109375" style="75" bestFit="1" customWidth="1"/>
    <col min="14362" max="14362" width="14.28515625" style="75" bestFit="1" customWidth="1"/>
    <col min="14363" max="14363" width="17.28515625" style="75" customWidth="1"/>
    <col min="14364" max="14364" width="13.140625" style="75" bestFit="1" customWidth="1"/>
    <col min="14365" max="14365" width="16.28515625" style="75" bestFit="1" customWidth="1"/>
    <col min="14366" max="14366" width="13.140625" style="75" bestFit="1" customWidth="1"/>
    <col min="14367" max="14369" width="14.7109375" style="75" bestFit="1" customWidth="1"/>
    <col min="14370" max="14370" width="16.28515625" style="75" bestFit="1" customWidth="1"/>
    <col min="14371" max="14371" width="17.7109375" style="75" bestFit="1" customWidth="1"/>
    <col min="14372" max="14373" width="14.7109375" style="75" bestFit="1" customWidth="1"/>
    <col min="14374" max="14374" width="14.7109375" style="75" customWidth="1"/>
    <col min="14375" max="14375" width="27" style="75" customWidth="1"/>
    <col min="14376" max="14377" width="16.28515625" style="75" bestFit="1" customWidth="1"/>
    <col min="14378" max="14378" width="46.28515625" style="75" bestFit="1" customWidth="1"/>
    <col min="14379" max="14379" width="23.85546875" style="75" customWidth="1"/>
    <col min="14380" max="14380" width="17.140625" style="75" bestFit="1" customWidth="1"/>
    <col min="14381" max="14381" width="18.5703125" style="75" bestFit="1" customWidth="1"/>
    <col min="14382" max="14383" width="20.5703125" style="75" customWidth="1"/>
    <col min="14384" max="14384" width="11.42578125" style="75" bestFit="1" customWidth="1"/>
    <col min="14385" max="14589" width="9.140625" style="75"/>
    <col min="14590" max="14590" width="8" style="75" customWidth="1"/>
    <col min="14591" max="14591" width="7.140625" style="75" customWidth="1"/>
    <col min="14592" max="14592" width="17" style="75" bestFit="1" customWidth="1"/>
    <col min="14593" max="14593" width="20.28515625" style="75" bestFit="1" customWidth="1"/>
    <col min="14594" max="14594" width="2.7109375" style="75" customWidth="1"/>
    <col min="14595" max="14595" width="5.5703125" style="75" customWidth="1"/>
    <col min="14596" max="14596" width="14.42578125" style="75" customWidth="1"/>
    <col min="14597" max="14597" width="18.42578125" style="75" customWidth="1"/>
    <col min="14598" max="14598" width="13" style="75" customWidth="1"/>
    <col min="14599" max="14599" width="16.7109375" style="75" customWidth="1"/>
    <col min="14600" max="14600" width="14.7109375" style="75" customWidth="1"/>
    <col min="14601" max="14601" width="18.42578125" style="75" customWidth="1"/>
    <col min="14602" max="14602" width="16.7109375" style="75" customWidth="1"/>
    <col min="14603" max="14603" width="4.140625" style="75" customWidth="1"/>
    <col min="14604" max="14604" width="7.28515625" style="75" customWidth="1"/>
    <col min="14605" max="14605" width="11.140625" style="75" bestFit="1" customWidth="1"/>
    <col min="14606" max="14606" width="16.5703125" style="75" customWidth="1"/>
    <col min="14607" max="14607" width="16.7109375" style="75" customWidth="1"/>
    <col min="14608" max="14608" width="15.28515625" style="75" customWidth="1"/>
    <col min="14609" max="14609" width="25.5703125" style="75" bestFit="1" customWidth="1"/>
    <col min="14610" max="14610" width="9.42578125" style="75" customWidth="1"/>
    <col min="14611" max="14611" width="6.7109375" style="75" customWidth="1"/>
    <col min="14612" max="14612" width="14.85546875" style="75" customWidth="1"/>
    <col min="14613" max="14613" width="15.7109375" style="75" customWidth="1"/>
    <col min="14614" max="14614" width="14.85546875" style="75" customWidth="1"/>
    <col min="14615" max="14615" width="12.5703125" style="75" bestFit="1" customWidth="1"/>
    <col min="14616" max="14616" width="12.85546875" style="75" customWidth="1"/>
    <col min="14617" max="14617" width="13.7109375" style="75" bestFit="1" customWidth="1"/>
    <col min="14618" max="14618" width="14.28515625" style="75" bestFit="1" customWidth="1"/>
    <col min="14619" max="14619" width="17.28515625" style="75" customWidth="1"/>
    <col min="14620" max="14620" width="13.140625" style="75" bestFit="1" customWidth="1"/>
    <col min="14621" max="14621" width="16.28515625" style="75" bestFit="1" customWidth="1"/>
    <col min="14622" max="14622" width="13.140625" style="75" bestFit="1" customWidth="1"/>
    <col min="14623" max="14625" width="14.7109375" style="75" bestFit="1" customWidth="1"/>
    <col min="14626" max="14626" width="16.28515625" style="75" bestFit="1" customWidth="1"/>
    <col min="14627" max="14627" width="17.7109375" style="75" bestFit="1" customWidth="1"/>
    <col min="14628" max="14629" width="14.7109375" style="75" bestFit="1" customWidth="1"/>
    <col min="14630" max="14630" width="14.7109375" style="75" customWidth="1"/>
    <col min="14631" max="14631" width="27" style="75" customWidth="1"/>
    <col min="14632" max="14633" width="16.28515625" style="75" bestFit="1" customWidth="1"/>
    <col min="14634" max="14634" width="46.28515625" style="75" bestFit="1" customWidth="1"/>
    <col min="14635" max="14635" width="23.85546875" style="75" customWidth="1"/>
    <col min="14636" max="14636" width="17.140625" style="75" bestFit="1" customWidth="1"/>
    <col min="14637" max="14637" width="18.5703125" style="75" bestFit="1" customWidth="1"/>
    <col min="14638" max="14639" width="20.5703125" style="75" customWidth="1"/>
    <col min="14640" max="14640" width="11.42578125" style="75" bestFit="1" customWidth="1"/>
    <col min="14641" max="14845" width="9.140625" style="75"/>
    <col min="14846" max="14846" width="8" style="75" customWidth="1"/>
    <col min="14847" max="14847" width="7.140625" style="75" customWidth="1"/>
    <col min="14848" max="14848" width="17" style="75" bestFit="1" customWidth="1"/>
    <col min="14849" max="14849" width="20.28515625" style="75" bestFit="1" customWidth="1"/>
    <col min="14850" max="14850" width="2.7109375" style="75" customWidth="1"/>
    <col min="14851" max="14851" width="5.5703125" style="75" customWidth="1"/>
    <col min="14852" max="14852" width="14.42578125" style="75" customWidth="1"/>
    <col min="14853" max="14853" width="18.42578125" style="75" customWidth="1"/>
    <col min="14854" max="14854" width="13" style="75" customWidth="1"/>
    <col min="14855" max="14855" width="16.7109375" style="75" customWidth="1"/>
    <col min="14856" max="14856" width="14.7109375" style="75" customWidth="1"/>
    <col min="14857" max="14857" width="18.42578125" style="75" customWidth="1"/>
    <col min="14858" max="14858" width="16.7109375" style="75" customWidth="1"/>
    <col min="14859" max="14859" width="4.140625" style="75" customWidth="1"/>
    <col min="14860" max="14860" width="7.28515625" style="75" customWidth="1"/>
    <col min="14861" max="14861" width="11.140625" style="75" bestFit="1" customWidth="1"/>
    <col min="14862" max="14862" width="16.5703125" style="75" customWidth="1"/>
    <col min="14863" max="14863" width="16.7109375" style="75" customWidth="1"/>
    <col min="14864" max="14864" width="15.28515625" style="75" customWidth="1"/>
    <col min="14865" max="14865" width="25.5703125" style="75" bestFit="1" customWidth="1"/>
    <col min="14866" max="14866" width="9.42578125" style="75" customWidth="1"/>
    <col min="14867" max="14867" width="6.7109375" style="75" customWidth="1"/>
    <col min="14868" max="14868" width="14.85546875" style="75" customWidth="1"/>
    <col min="14869" max="14869" width="15.7109375" style="75" customWidth="1"/>
    <col min="14870" max="14870" width="14.85546875" style="75" customWidth="1"/>
    <col min="14871" max="14871" width="12.5703125" style="75" bestFit="1" customWidth="1"/>
    <col min="14872" max="14872" width="12.85546875" style="75" customWidth="1"/>
    <col min="14873" max="14873" width="13.7109375" style="75" bestFit="1" customWidth="1"/>
    <col min="14874" max="14874" width="14.28515625" style="75" bestFit="1" customWidth="1"/>
    <col min="14875" max="14875" width="17.28515625" style="75" customWidth="1"/>
    <col min="14876" max="14876" width="13.140625" style="75" bestFit="1" customWidth="1"/>
    <col min="14877" max="14877" width="16.28515625" style="75" bestFit="1" customWidth="1"/>
    <col min="14878" max="14878" width="13.140625" style="75" bestFit="1" customWidth="1"/>
    <col min="14879" max="14881" width="14.7109375" style="75" bestFit="1" customWidth="1"/>
    <col min="14882" max="14882" width="16.28515625" style="75" bestFit="1" customWidth="1"/>
    <col min="14883" max="14883" width="17.7109375" style="75" bestFit="1" customWidth="1"/>
    <col min="14884" max="14885" width="14.7109375" style="75" bestFit="1" customWidth="1"/>
    <col min="14886" max="14886" width="14.7109375" style="75" customWidth="1"/>
    <col min="14887" max="14887" width="27" style="75" customWidth="1"/>
    <col min="14888" max="14889" width="16.28515625" style="75" bestFit="1" customWidth="1"/>
    <col min="14890" max="14890" width="46.28515625" style="75" bestFit="1" customWidth="1"/>
    <col min="14891" max="14891" width="23.85546875" style="75" customWidth="1"/>
    <col min="14892" max="14892" width="17.140625" style="75" bestFit="1" customWidth="1"/>
    <col min="14893" max="14893" width="18.5703125" style="75" bestFit="1" customWidth="1"/>
    <col min="14894" max="14895" width="20.5703125" style="75" customWidth="1"/>
    <col min="14896" max="14896" width="11.42578125" style="75" bestFit="1" customWidth="1"/>
    <col min="14897" max="15101" width="9.140625" style="75"/>
    <col min="15102" max="15102" width="8" style="75" customWidth="1"/>
    <col min="15103" max="15103" width="7.140625" style="75" customWidth="1"/>
    <col min="15104" max="15104" width="17" style="75" bestFit="1" customWidth="1"/>
    <col min="15105" max="15105" width="20.28515625" style="75" bestFit="1" customWidth="1"/>
    <col min="15106" max="15106" width="2.7109375" style="75" customWidth="1"/>
    <col min="15107" max="15107" width="5.5703125" style="75" customWidth="1"/>
    <col min="15108" max="15108" width="14.42578125" style="75" customWidth="1"/>
    <col min="15109" max="15109" width="18.42578125" style="75" customWidth="1"/>
    <col min="15110" max="15110" width="13" style="75" customWidth="1"/>
    <col min="15111" max="15111" width="16.7109375" style="75" customWidth="1"/>
    <col min="15112" max="15112" width="14.7109375" style="75" customWidth="1"/>
    <col min="15113" max="15113" width="18.42578125" style="75" customWidth="1"/>
    <col min="15114" max="15114" width="16.7109375" style="75" customWidth="1"/>
    <col min="15115" max="15115" width="4.140625" style="75" customWidth="1"/>
    <col min="15116" max="15116" width="7.28515625" style="75" customWidth="1"/>
    <col min="15117" max="15117" width="11.140625" style="75" bestFit="1" customWidth="1"/>
    <col min="15118" max="15118" width="16.5703125" style="75" customWidth="1"/>
    <col min="15119" max="15119" width="16.7109375" style="75" customWidth="1"/>
    <col min="15120" max="15120" width="15.28515625" style="75" customWidth="1"/>
    <col min="15121" max="15121" width="25.5703125" style="75" bestFit="1" customWidth="1"/>
    <col min="15122" max="15122" width="9.42578125" style="75" customWidth="1"/>
    <col min="15123" max="15123" width="6.7109375" style="75" customWidth="1"/>
    <col min="15124" max="15124" width="14.85546875" style="75" customWidth="1"/>
    <col min="15125" max="15125" width="15.7109375" style="75" customWidth="1"/>
    <col min="15126" max="15126" width="14.85546875" style="75" customWidth="1"/>
    <col min="15127" max="15127" width="12.5703125" style="75" bestFit="1" customWidth="1"/>
    <col min="15128" max="15128" width="12.85546875" style="75" customWidth="1"/>
    <col min="15129" max="15129" width="13.7109375" style="75" bestFit="1" customWidth="1"/>
    <col min="15130" max="15130" width="14.28515625" style="75" bestFit="1" customWidth="1"/>
    <col min="15131" max="15131" width="17.28515625" style="75" customWidth="1"/>
    <col min="15132" max="15132" width="13.140625" style="75" bestFit="1" customWidth="1"/>
    <col min="15133" max="15133" width="16.28515625" style="75" bestFit="1" customWidth="1"/>
    <col min="15134" max="15134" width="13.140625" style="75" bestFit="1" customWidth="1"/>
    <col min="15135" max="15137" width="14.7109375" style="75" bestFit="1" customWidth="1"/>
    <col min="15138" max="15138" width="16.28515625" style="75" bestFit="1" customWidth="1"/>
    <col min="15139" max="15139" width="17.7109375" style="75" bestFit="1" customWidth="1"/>
    <col min="15140" max="15141" width="14.7109375" style="75" bestFit="1" customWidth="1"/>
    <col min="15142" max="15142" width="14.7109375" style="75" customWidth="1"/>
    <col min="15143" max="15143" width="27" style="75" customWidth="1"/>
    <col min="15144" max="15145" width="16.28515625" style="75" bestFit="1" customWidth="1"/>
    <col min="15146" max="15146" width="46.28515625" style="75" bestFit="1" customWidth="1"/>
    <col min="15147" max="15147" width="23.85546875" style="75" customWidth="1"/>
    <col min="15148" max="15148" width="17.140625" style="75" bestFit="1" customWidth="1"/>
    <col min="15149" max="15149" width="18.5703125" style="75" bestFit="1" customWidth="1"/>
    <col min="15150" max="15151" width="20.5703125" style="75" customWidth="1"/>
    <col min="15152" max="15152" width="11.42578125" style="75" bestFit="1" customWidth="1"/>
    <col min="15153" max="15357" width="9.140625" style="75"/>
    <col min="15358" max="15358" width="8" style="75" customWidth="1"/>
    <col min="15359" max="15359" width="7.140625" style="75" customWidth="1"/>
    <col min="15360" max="15360" width="17" style="75" bestFit="1" customWidth="1"/>
    <col min="15361" max="15361" width="20.28515625" style="75" bestFit="1" customWidth="1"/>
    <col min="15362" max="15362" width="2.7109375" style="75" customWidth="1"/>
    <col min="15363" max="15363" width="5.5703125" style="75" customWidth="1"/>
    <col min="15364" max="15364" width="14.42578125" style="75" customWidth="1"/>
    <col min="15365" max="15365" width="18.42578125" style="75" customWidth="1"/>
    <col min="15366" max="15366" width="13" style="75" customWidth="1"/>
    <col min="15367" max="15367" width="16.7109375" style="75" customWidth="1"/>
    <col min="15368" max="15368" width="14.7109375" style="75" customWidth="1"/>
    <col min="15369" max="15369" width="18.42578125" style="75" customWidth="1"/>
    <col min="15370" max="15370" width="16.7109375" style="75" customWidth="1"/>
    <col min="15371" max="15371" width="4.140625" style="75" customWidth="1"/>
    <col min="15372" max="15372" width="7.28515625" style="75" customWidth="1"/>
    <col min="15373" max="15373" width="11.140625" style="75" bestFit="1" customWidth="1"/>
    <col min="15374" max="15374" width="16.5703125" style="75" customWidth="1"/>
    <col min="15375" max="15375" width="16.7109375" style="75" customWidth="1"/>
    <col min="15376" max="15376" width="15.28515625" style="75" customWidth="1"/>
    <col min="15377" max="15377" width="25.5703125" style="75" bestFit="1" customWidth="1"/>
    <col min="15378" max="15378" width="9.42578125" style="75" customWidth="1"/>
    <col min="15379" max="15379" width="6.7109375" style="75" customWidth="1"/>
    <col min="15380" max="15380" width="14.85546875" style="75" customWidth="1"/>
    <col min="15381" max="15381" width="15.7109375" style="75" customWidth="1"/>
    <col min="15382" max="15382" width="14.85546875" style="75" customWidth="1"/>
    <col min="15383" max="15383" width="12.5703125" style="75" bestFit="1" customWidth="1"/>
    <col min="15384" max="15384" width="12.85546875" style="75" customWidth="1"/>
    <col min="15385" max="15385" width="13.7109375" style="75" bestFit="1" customWidth="1"/>
    <col min="15386" max="15386" width="14.28515625" style="75" bestFit="1" customWidth="1"/>
    <col min="15387" max="15387" width="17.28515625" style="75" customWidth="1"/>
    <col min="15388" max="15388" width="13.140625" style="75" bestFit="1" customWidth="1"/>
    <col min="15389" max="15389" width="16.28515625" style="75" bestFit="1" customWidth="1"/>
    <col min="15390" max="15390" width="13.140625" style="75" bestFit="1" customWidth="1"/>
    <col min="15391" max="15393" width="14.7109375" style="75" bestFit="1" customWidth="1"/>
    <col min="15394" max="15394" width="16.28515625" style="75" bestFit="1" customWidth="1"/>
    <col min="15395" max="15395" width="17.7109375" style="75" bestFit="1" customWidth="1"/>
    <col min="15396" max="15397" width="14.7109375" style="75" bestFit="1" customWidth="1"/>
    <col min="15398" max="15398" width="14.7109375" style="75" customWidth="1"/>
    <col min="15399" max="15399" width="27" style="75" customWidth="1"/>
    <col min="15400" max="15401" width="16.28515625" style="75" bestFit="1" customWidth="1"/>
    <col min="15402" max="15402" width="46.28515625" style="75" bestFit="1" customWidth="1"/>
    <col min="15403" max="15403" width="23.85546875" style="75" customWidth="1"/>
    <col min="15404" max="15404" width="17.140625" style="75" bestFit="1" customWidth="1"/>
    <col min="15405" max="15405" width="18.5703125" style="75" bestFit="1" customWidth="1"/>
    <col min="15406" max="15407" width="20.5703125" style="75" customWidth="1"/>
    <col min="15408" max="15408" width="11.42578125" style="75" bestFit="1" customWidth="1"/>
    <col min="15409" max="15613" width="9.140625" style="75"/>
    <col min="15614" max="15614" width="8" style="75" customWidth="1"/>
    <col min="15615" max="15615" width="7.140625" style="75" customWidth="1"/>
    <col min="15616" max="15616" width="17" style="75" bestFit="1" customWidth="1"/>
    <col min="15617" max="15617" width="20.28515625" style="75" bestFit="1" customWidth="1"/>
    <col min="15618" max="15618" width="2.7109375" style="75" customWidth="1"/>
    <col min="15619" max="15619" width="5.5703125" style="75" customWidth="1"/>
    <col min="15620" max="15620" width="14.42578125" style="75" customWidth="1"/>
    <col min="15621" max="15621" width="18.42578125" style="75" customWidth="1"/>
    <col min="15622" max="15622" width="13" style="75" customWidth="1"/>
    <col min="15623" max="15623" width="16.7109375" style="75" customWidth="1"/>
    <col min="15624" max="15624" width="14.7109375" style="75" customWidth="1"/>
    <col min="15625" max="15625" width="18.42578125" style="75" customWidth="1"/>
    <col min="15626" max="15626" width="16.7109375" style="75" customWidth="1"/>
    <col min="15627" max="15627" width="4.140625" style="75" customWidth="1"/>
    <col min="15628" max="15628" width="7.28515625" style="75" customWidth="1"/>
    <col min="15629" max="15629" width="11.140625" style="75" bestFit="1" customWidth="1"/>
    <col min="15630" max="15630" width="16.5703125" style="75" customWidth="1"/>
    <col min="15631" max="15631" width="16.7109375" style="75" customWidth="1"/>
    <col min="15632" max="15632" width="15.28515625" style="75" customWidth="1"/>
    <col min="15633" max="15633" width="25.5703125" style="75" bestFit="1" customWidth="1"/>
    <col min="15634" max="15634" width="9.42578125" style="75" customWidth="1"/>
    <col min="15635" max="15635" width="6.7109375" style="75" customWidth="1"/>
    <col min="15636" max="15636" width="14.85546875" style="75" customWidth="1"/>
    <col min="15637" max="15637" width="15.7109375" style="75" customWidth="1"/>
    <col min="15638" max="15638" width="14.85546875" style="75" customWidth="1"/>
    <col min="15639" max="15639" width="12.5703125" style="75" bestFit="1" customWidth="1"/>
    <col min="15640" max="15640" width="12.85546875" style="75" customWidth="1"/>
    <col min="15641" max="15641" width="13.7109375" style="75" bestFit="1" customWidth="1"/>
    <col min="15642" max="15642" width="14.28515625" style="75" bestFit="1" customWidth="1"/>
    <col min="15643" max="15643" width="17.28515625" style="75" customWidth="1"/>
    <col min="15644" max="15644" width="13.140625" style="75" bestFit="1" customWidth="1"/>
    <col min="15645" max="15645" width="16.28515625" style="75" bestFit="1" customWidth="1"/>
    <col min="15646" max="15646" width="13.140625" style="75" bestFit="1" customWidth="1"/>
    <col min="15647" max="15649" width="14.7109375" style="75" bestFit="1" customWidth="1"/>
    <col min="15650" max="15650" width="16.28515625" style="75" bestFit="1" customWidth="1"/>
    <col min="15651" max="15651" width="17.7109375" style="75" bestFit="1" customWidth="1"/>
    <col min="15652" max="15653" width="14.7109375" style="75" bestFit="1" customWidth="1"/>
    <col min="15654" max="15654" width="14.7109375" style="75" customWidth="1"/>
    <col min="15655" max="15655" width="27" style="75" customWidth="1"/>
    <col min="15656" max="15657" width="16.28515625" style="75" bestFit="1" customWidth="1"/>
    <col min="15658" max="15658" width="46.28515625" style="75" bestFit="1" customWidth="1"/>
    <col min="15659" max="15659" width="23.85546875" style="75" customWidth="1"/>
    <col min="15660" max="15660" width="17.140625" style="75" bestFit="1" customWidth="1"/>
    <col min="15661" max="15661" width="18.5703125" style="75" bestFit="1" customWidth="1"/>
    <col min="15662" max="15663" width="20.5703125" style="75" customWidth="1"/>
    <col min="15664" max="15664" width="11.42578125" style="75" bestFit="1" customWidth="1"/>
    <col min="15665" max="15869" width="9.140625" style="75"/>
    <col min="15870" max="15870" width="8" style="75" customWidth="1"/>
    <col min="15871" max="15871" width="7.140625" style="75" customWidth="1"/>
    <col min="15872" max="15872" width="17" style="75" bestFit="1" customWidth="1"/>
    <col min="15873" max="15873" width="20.28515625" style="75" bestFit="1" customWidth="1"/>
    <col min="15874" max="15874" width="2.7109375" style="75" customWidth="1"/>
    <col min="15875" max="15875" width="5.5703125" style="75" customWidth="1"/>
    <col min="15876" max="15876" width="14.42578125" style="75" customWidth="1"/>
    <col min="15877" max="15877" width="18.42578125" style="75" customWidth="1"/>
    <col min="15878" max="15878" width="13" style="75" customWidth="1"/>
    <col min="15879" max="15879" width="16.7109375" style="75" customWidth="1"/>
    <col min="15880" max="15880" width="14.7109375" style="75" customWidth="1"/>
    <col min="15881" max="15881" width="18.42578125" style="75" customWidth="1"/>
    <col min="15882" max="15882" width="16.7109375" style="75" customWidth="1"/>
    <col min="15883" max="15883" width="4.140625" style="75" customWidth="1"/>
    <col min="15884" max="15884" width="7.28515625" style="75" customWidth="1"/>
    <col min="15885" max="15885" width="11.140625" style="75" bestFit="1" customWidth="1"/>
    <col min="15886" max="15886" width="16.5703125" style="75" customWidth="1"/>
    <col min="15887" max="15887" width="16.7109375" style="75" customWidth="1"/>
    <col min="15888" max="15888" width="15.28515625" style="75" customWidth="1"/>
    <col min="15889" max="15889" width="25.5703125" style="75" bestFit="1" customWidth="1"/>
    <col min="15890" max="15890" width="9.42578125" style="75" customWidth="1"/>
    <col min="15891" max="15891" width="6.7109375" style="75" customWidth="1"/>
    <col min="15892" max="15892" width="14.85546875" style="75" customWidth="1"/>
    <col min="15893" max="15893" width="15.7109375" style="75" customWidth="1"/>
    <col min="15894" max="15894" width="14.85546875" style="75" customWidth="1"/>
    <col min="15895" max="15895" width="12.5703125" style="75" bestFit="1" customWidth="1"/>
    <col min="15896" max="15896" width="12.85546875" style="75" customWidth="1"/>
    <col min="15897" max="15897" width="13.7109375" style="75" bestFit="1" customWidth="1"/>
    <col min="15898" max="15898" width="14.28515625" style="75" bestFit="1" customWidth="1"/>
    <col min="15899" max="15899" width="17.28515625" style="75" customWidth="1"/>
    <col min="15900" max="15900" width="13.140625" style="75" bestFit="1" customWidth="1"/>
    <col min="15901" max="15901" width="16.28515625" style="75" bestFit="1" customWidth="1"/>
    <col min="15902" max="15902" width="13.140625" style="75" bestFit="1" customWidth="1"/>
    <col min="15903" max="15905" width="14.7109375" style="75" bestFit="1" customWidth="1"/>
    <col min="15906" max="15906" width="16.28515625" style="75" bestFit="1" customWidth="1"/>
    <col min="15907" max="15907" width="17.7109375" style="75" bestFit="1" customWidth="1"/>
    <col min="15908" max="15909" width="14.7109375" style="75" bestFit="1" customWidth="1"/>
    <col min="15910" max="15910" width="14.7109375" style="75" customWidth="1"/>
    <col min="15911" max="15911" width="27" style="75" customWidth="1"/>
    <col min="15912" max="15913" width="16.28515625" style="75" bestFit="1" customWidth="1"/>
    <col min="15914" max="15914" width="46.28515625" style="75" bestFit="1" customWidth="1"/>
    <col min="15915" max="15915" width="23.85546875" style="75" customWidth="1"/>
    <col min="15916" max="15916" width="17.140625" style="75" bestFit="1" customWidth="1"/>
    <col min="15917" max="15917" width="18.5703125" style="75" bestFit="1" customWidth="1"/>
    <col min="15918" max="15919" width="20.5703125" style="75" customWidth="1"/>
    <col min="15920" max="15920" width="11.42578125" style="75" bestFit="1" customWidth="1"/>
    <col min="15921" max="16125" width="9.140625" style="75"/>
    <col min="16126" max="16126" width="8" style="75" customWidth="1"/>
    <col min="16127" max="16127" width="7.140625" style="75" customWidth="1"/>
    <col min="16128" max="16128" width="17" style="75" bestFit="1" customWidth="1"/>
    <col min="16129" max="16129" width="20.28515625" style="75" bestFit="1" customWidth="1"/>
    <col min="16130" max="16130" width="2.7109375" style="75" customWidth="1"/>
    <col min="16131" max="16131" width="5.5703125" style="75" customWidth="1"/>
    <col min="16132" max="16132" width="14.42578125" style="75" customWidth="1"/>
    <col min="16133" max="16133" width="18.42578125" style="75" customWidth="1"/>
    <col min="16134" max="16134" width="13" style="75" customWidth="1"/>
    <col min="16135" max="16135" width="16.7109375" style="75" customWidth="1"/>
    <col min="16136" max="16136" width="14.7109375" style="75" customWidth="1"/>
    <col min="16137" max="16137" width="18.42578125" style="75" customWidth="1"/>
    <col min="16138" max="16138" width="16.7109375" style="75" customWidth="1"/>
    <col min="16139" max="16139" width="4.140625" style="75" customWidth="1"/>
    <col min="16140" max="16140" width="7.28515625" style="75" customWidth="1"/>
    <col min="16141" max="16141" width="11.140625" style="75" bestFit="1" customWidth="1"/>
    <col min="16142" max="16142" width="16.5703125" style="75" customWidth="1"/>
    <col min="16143" max="16143" width="16.7109375" style="75" customWidth="1"/>
    <col min="16144" max="16144" width="15.28515625" style="75" customWidth="1"/>
    <col min="16145" max="16145" width="25.5703125" style="75" bestFit="1" customWidth="1"/>
    <col min="16146" max="16146" width="9.42578125" style="75" customWidth="1"/>
    <col min="16147" max="16147" width="6.7109375" style="75" customWidth="1"/>
    <col min="16148" max="16148" width="14.85546875" style="75" customWidth="1"/>
    <col min="16149" max="16149" width="15.7109375" style="75" customWidth="1"/>
    <col min="16150" max="16150" width="14.85546875" style="75" customWidth="1"/>
    <col min="16151" max="16151" width="12.5703125" style="75" bestFit="1" customWidth="1"/>
    <col min="16152" max="16152" width="12.85546875" style="75" customWidth="1"/>
    <col min="16153" max="16153" width="13.7109375" style="75" bestFit="1" customWidth="1"/>
    <col min="16154" max="16154" width="14.28515625" style="75" bestFit="1" customWidth="1"/>
    <col min="16155" max="16155" width="17.28515625" style="75" customWidth="1"/>
    <col min="16156" max="16156" width="13.140625" style="75" bestFit="1" customWidth="1"/>
    <col min="16157" max="16157" width="16.28515625" style="75" bestFit="1" customWidth="1"/>
    <col min="16158" max="16158" width="13.140625" style="75" bestFit="1" customWidth="1"/>
    <col min="16159" max="16161" width="14.7109375" style="75" bestFit="1" customWidth="1"/>
    <col min="16162" max="16162" width="16.28515625" style="75" bestFit="1" customWidth="1"/>
    <col min="16163" max="16163" width="17.7109375" style="75" bestFit="1" customWidth="1"/>
    <col min="16164" max="16165" width="14.7109375" style="75" bestFit="1" customWidth="1"/>
    <col min="16166" max="16166" width="14.7109375" style="75" customWidth="1"/>
    <col min="16167" max="16167" width="27" style="75" customWidth="1"/>
    <col min="16168" max="16169" width="16.28515625" style="75" bestFit="1" customWidth="1"/>
    <col min="16170" max="16170" width="46.28515625" style="75" bestFit="1" customWidth="1"/>
    <col min="16171" max="16171" width="23.85546875" style="75" customWidth="1"/>
    <col min="16172" max="16172" width="17.140625" style="75" bestFit="1" customWidth="1"/>
    <col min="16173" max="16173" width="18.5703125" style="75" bestFit="1" customWidth="1"/>
    <col min="16174" max="16175" width="20.5703125" style="75" customWidth="1"/>
    <col min="16176" max="16176" width="11.42578125" style="75" bestFit="1" customWidth="1"/>
    <col min="16177" max="16384" width="9.140625" style="75"/>
  </cols>
  <sheetData>
    <row r="1" spans="1:48" x14ac:dyDescent="0.55000000000000004">
      <c r="A1" s="74">
        <v>1</v>
      </c>
      <c r="B1" s="75">
        <v>2</v>
      </c>
      <c r="C1" s="74">
        <v>3</v>
      </c>
      <c r="D1" s="75">
        <v>4</v>
      </c>
      <c r="E1" s="74">
        <v>5</v>
      </c>
      <c r="F1" s="75">
        <v>6</v>
      </c>
      <c r="G1" s="74">
        <v>7</v>
      </c>
      <c r="H1" s="75">
        <v>8</v>
      </c>
      <c r="I1" s="74">
        <v>9</v>
      </c>
      <c r="J1" s="75">
        <v>10</v>
      </c>
      <c r="K1" s="74">
        <v>11</v>
      </c>
      <c r="L1" s="75">
        <v>12</v>
      </c>
      <c r="M1" s="74">
        <v>13</v>
      </c>
      <c r="N1" s="75">
        <v>14</v>
      </c>
      <c r="O1" s="74">
        <v>15</v>
      </c>
      <c r="P1" s="75">
        <v>16</v>
      </c>
      <c r="Q1" s="74">
        <v>17</v>
      </c>
      <c r="R1" s="75">
        <v>18</v>
      </c>
      <c r="S1" s="74">
        <v>19</v>
      </c>
      <c r="T1" s="75">
        <v>20</v>
      </c>
      <c r="U1" s="74">
        <v>21</v>
      </c>
      <c r="V1" s="75">
        <v>22</v>
      </c>
      <c r="W1" s="74">
        <v>23</v>
      </c>
      <c r="X1" s="75">
        <v>24</v>
      </c>
      <c r="Y1" s="74">
        <v>25</v>
      </c>
      <c r="Z1" s="75">
        <v>26</v>
      </c>
      <c r="AA1" s="74">
        <v>27</v>
      </c>
      <c r="AB1" s="75">
        <v>28</v>
      </c>
      <c r="AC1" s="74">
        <v>29</v>
      </c>
      <c r="AD1" s="75">
        <v>30</v>
      </c>
      <c r="AE1" s="74">
        <v>31</v>
      </c>
      <c r="AF1" s="75">
        <v>32</v>
      </c>
      <c r="AG1" s="74">
        <v>33</v>
      </c>
      <c r="AH1" s="75">
        <v>34</v>
      </c>
      <c r="AI1" s="74">
        <v>35</v>
      </c>
      <c r="AJ1" s="75">
        <v>36</v>
      </c>
      <c r="AK1" s="74">
        <v>37</v>
      </c>
      <c r="AL1" s="75">
        <v>38</v>
      </c>
      <c r="AM1" s="74">
        <v>39</v>
      </c>
      <c r="AN1" s="75">
        <v>40</v>
      </c>
      <c r="AO1" s="74">
        <v>41</v>
      </c>
      <c r="AP1" s="75">
        <v>42</v>
      </c>
      <c r="AQ1" s="74">
        <v>43</v>
      </c>
      <c r="AR1" s="75">
        <v>44</v>
      </c>
      <c r="AS1" s="74">
        <v>45</v>
      </c>
      <c r="AT1" s="75">
        <v>46</v>
      </c>
      <c r="AU1" s="74">
        <v>47</v>
      </c>
    </row>
    <row r="2" spans="1:48" x14ac:dyDescent="0.55000000000000004">
      <c r="C2" s="74"/>
      <c r="E2" s="74"/>
      <c r="G2" s="74"/>
      <c r="I2" s="74"/>
      <c r="L2" s="75"/>
      <c r="O2" s="74"/>
      <c r="P2" s="183">
        <v>1401</v>
      </c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>
        <v>1402</v>
      </c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</row>
    <row r="3" spans="1:48" s="126" customFormat="1" x14ac:dyDescent="0.55000000000000004">
      <c r="A3" s="150"/>
      <c r="B3" s="151" t="s">
        <v>1</v>
      </c>
      <c r="C3" s="152" t="s">
        <v>39</v>
      </c>
      <c r="D3" s="152" t="s">
        <v>40</v>
      </c>
      <c r="E3" s="181" t="s">
        <v>41</v>
      </c>
      <c r="F3" s="182"/>
      <c r="G3" s="125" t="s">
        <v>42</v>
      </c>
      <c r="H3" s="124" t="s">
        <v>43</v>
      </c>
      <c r="I3" s="124" t="s">
        <v>44</v>
      </c>
      <c r="J3" s="124" t="s">
        <v>45</v>
      </c>
      <c r="K3" s="123" t="s">
        <v>46</v>
      </c>
      <c r="L3" s="123" t="s">
        <v>47</v>
      </c>
      <c r="M3" s="123" t="s">
        <v>48</v>
      </c>
      <c r="N3" s="181" t="s">
        <v>49</v>
      </c>
      <c r="O3" s="182"/>
      <c r="P3" s="141" t="s">
        <v>50</v>
      </c>
      <c r="Q3" s="141" t="s">
        <v>51</v>
      </c>
      <c r="R3" s="141" t="s">
        <v>52</v>
      </c>
      <c r="S3" s="141" t="s">
        <v>53</v>
      </c>
      <c r="T3" s="141" t="s">
        <v>54</v>
      </c>
      <c r="U3" s="141" t="s">
        <v>55</v>
      </c>
      <c r="V3" s="141" t="s">
        <v>56</v>
      </c>
      <c r="W3" s="141" t="s">
        <v>2</v>
      </c>
      <c r="X3" s="141" t="s">
        <v>19</v>
      </c>
      <c r="Y3" s="141" t="s">
        <v>22</v>
      </c>
      <c r="Z3" s="141" t="s">
        <v>57</v>
      </c>
      <c r="AA3" s="141" t="s">
        <v>58</v>
      </c>
      <c r="AB3" s="144" t="s">
        <v>50</v>
      </c>
      <c r="AC3" s="144" t="s">
        <v>218</v>
      </c>
      <c r="AD3" s="144" t="s">
        <v>219</v>
      </c>
      <c r="AE3" s="144" t="s">
        <v>220</v>
      </c>
      <c r="AF3" s="145" t="s">
        <v>221</v>
      </c>
      <c r="AG3" s="146" t="s">
        <v>222</v>
      </c>
      <c r="AH3" s="144" t="s">
        <v>51</v>
      </c>
      <c r="AI3" s="144" t="s">
        <v>223</v>
      </c>
      <c r="AJ3" s="144" t="s">
        <v>224</v>
      </c>
      <c r="AK3" s="144" t="s">
        <v>225</v>
      </c>
      <c r="AL3" s="144" t="s">
        <v>52</v>
      </c>
      <c r="AM3" s="144" t="s">
        <v>53</v>
      </c>
      <c r="AN3" s="144" t="s">
        <v>54</v>
      </c>
      <c r="AO3" s="144" t="s">
        <v>55</v>
      </c>
      <c r="AP3" s="144" t="s">
        <v>56</v>
      </c>
      <c r="AQ3" s="144" t="s">
        <v>2</v>
      </c>
      <c r="AR3" s="144" t="s">
        <v>19</v>
      </c>
      <c r="AS3" s="144" t="s">
        <v>22</v>
      </c>
      <c r="AT3" s="144" t="s">
        <v>57</v>
      </c>
      <c r="AU3" s="144" t="s">
        <v>58</v>
      </c>
    </row>
    <row r="4" spans="1:48" s="130" customFormat="1" x14ac:dyDescent="0.2">
      <c r="A4" s="153">
        <v>1200</v>
      </c>
      <c r="B4" s="153">
        <v>1</v>
      </c>
      <c r="C4" s="154" t="s">
        <v>32</v>
      </c>
      <c r="D4" s="155" t="s">
        <v>77</v>
      </c>
      <c r="E4" s="128">
        <v>1</v>
      </c>
      <c r="F4" s="127" t="str">
        <f t="shared" ref="F4:F31" si="0">IF(E4=1,"مرد","زن")</f>
        <v>مرد</v>
      </c>
      <c r="G4" s="127" t="s">
        <v>78</v>
      </c>
      <c r="H4" s="129">
        <v>4310032801</v>
      </c>
      <c r="I4" s="127" t="s">
        <v>59</v>
      </c>
      <c r="J4" s="127" t="s">
        <v>79</v>
      </c>
      <c r="K4" s="129">
        <v>27255640</v>
      </c>
      <c r="L4" s="129" t="s">
        <v>274</v>
      </c>
      <c r="M4" s="129">
        <v>4310032801</v>
      </c>
      <c r="N4" s="127">
        <v>2</v>
      </c>
      <c r="O4" s="127" t="str">
        <f t="shared" ref="O4:O31" si="1">IF(N4=1,"مجرد","متاهل")</f>
        <v>متاهل</v>
      </c>
      <c r="P4" s="142">
        <v>0</v>
      </c>
      <c r="Q4" s="143">
        <v>13</v>
      </c>
      <c r="R4" s="143">
        <v>1430006</v>
      </c>
      <c r="S4" s="143">
        <v>72800</v>
      </c>
      <c r="T4" s="143">
        <f t="shared" ref="T4:T31" si="2">U4-R4-S4</f>
        <v>564629</v>
      </c>
      <c r="U4" s="143">
        <v>2067435</v>
      </c>
      <c r="V4" s="143">
        <f t="shared" ref="V4:V31" si="3">U4*30</f>
        <v>62023050</v>
      </c>
      <c r="W4" s="143">
        <v>5500000</v>
      </c>
      <c r="X4" s="143">
        <f t="shared" ref="X4:X31" si="4">P4*4179750</f>
        <v>0</v>
      </c>
      <c r="Y4" s="143">
        <v>8500000</v>
      </c>
      <c r="Z4" s="143">
        <f t="shared" ref="Z4:Z31" si="5">SUM(W4:Y4)</f>
        <v>14000000</v>
      </c>
      <c r="AA4" s="143">
        <f t="shared" ref="AA4:AA31" si="6">Z4+V4</f>
        <v>76023050</v>
      </c>
      <c r="AB4" s="147">
        <v>0</v>
      </c>
      <c r="AC4" s="147" t="s">
        <v>227</v>
      </c>
      <c r="AD4" s="147" t="s">
        <v>254</v>
      </c>
      <c r="AE4" s="147" t="s">
        <v>229</v>
      </c>
      <c r="AF4" s="147" t="s">
        <v>80</v>
      </c>
      <c r="AG4" s="148" t="s">
        <v>275</v>
      </c>
      <c r="AH4" s="149">
        <v>13</v>
      </c>
      <c r="AI4" s="149" t="s">
        <v>81</v>
      </c>
      <c r="AJ4" s="149" t="s">
        <v>330</v>
      </c>
      <c r="AK4" s="149"/>
      <c r="AL4" s="149">
        <v>1837461</v>
      </c>
      <c r="AM4" s="149">
        <v>72800</v>
      </c>
      <c r="AN4" s="149">
        <v>747731.35000000009</v>
      </c>
      <c r="AO4" s="149">
        <f t="shared" ref="AO4:AO31" si="7">SUM(AL4:AN4)</f>
        <v>2657992.35</v>
      </c>
      <c r="AP4" s="149">
        <f t="shared" ref="AP4:AP31" si="8">AO4*30</f>
        <v>79739770.5</v>
      </c>
      <c r="AQ4" s="149">
        <v>9000000</v>
      </c>
      <c r="AR4" s="149">
        <f>AB4*5308284</f>
        <v>0</v>
      </c>
      <c r="AS4" s="149">
        <v>11000000</v>
      </c>
      <c r="AT4" s="149">
        <f t="shared" ref="AT4:AT31" si="9">SUM(AQ4:AS4)</f>
        <v>20000000</v>
      </c>
      <c r="AU4" s="149">
        <f t="shared" ref="AU4:AU31" si="10">AT4+AP4</f>
        <v>99739770.5</v>
      </c>
    </row>
    <row r="5" spans="1:48" s="130" customFormat="1" x14ac:dyDescent="0.2">
      <c r="A5" s="153">
        <v>1201</v>
      </c>
      <c r="B5" s="153">
        <v>2</v>
      </c>
      <c r="C5" s="154" t="s">
        <v>32</v>
      </c>
      <c r="D5" s="155" t="s">
        <v>82</v>
      </c>
      <c r="E5" s="128">
        <v>1</v>
      </c>
      <c r="F5" s="127" t="str">
        <f t="shared" si="0"/>
        <v>مرد</v>
      </c>
      <c r="G5" s="127" t="s">
        <v>83</v>
      </c>
      <c r="H5" s="129">
        <v>5388547450</v>
      </c>
      <c r="I5" s="127" t="s">
        <v>59</v>
      </c>
      <c r="J5" s="127" t="s">
        <v>84</v>
      </c>
      <c r="K5" s="129">
        <v>28331988</v>
      </c>
      <c r="L5" s="129" t="s">
        <v>226</v>
      </c>
      <c r="M5" s="129">
        <v>5388547450</v>
      </c>
      <c r="N5" s="127">
        <v>1</v>
      </c>
      <c r="O5" s="127" t="str">
        <f t="shared" si="1"/>
        <v>مجرد</v>
      </c>
      <c r="P5" s="142">
        <v>0</v>
      </c>
      <c r="Q5" s="143">
        <v>2</v>
      </c>
      <c r="R5" s="143">
        <v>1395327</v>
      </c>
      <c r="S5" s="143"/>
      <c r="T5" s="143">
        <f t="shared" si="2"/>
        <v>0</v>
      </c>
      <c r="U5" s="143">
        <v>1395327</v>
      </c>
      <c r="V5" s="143">
        <f t="shared" si="3"/>
        <v>41859810</v>
      </c>
      <c r="W5" s="143">
        <v>5500000</v>
      </c>
      <c r="X5" s="143">
        <f t="shared" si="4"/>
        <v>0</v>
      </c>
      <c r="Y5" s="143">
        <v>8500000</v>
      </c>
      <c r="Z5" s="143">
        <f t="shared" si="5"/>
        <v>14000000</v>
      </c>
      <c r="AA5" s="143">
        <f t="shared" si="6"/>
        <v>55859810</v>
      </c>
      <c r="AB5" s="147">
        <v>0</v>
      </c>
      <c r="AC5" s="147" t="s">
        <v>227</v>
      </c>
      <c r="AD5" s="147" t="s">
        <v>228</v>
      </c>
      <c r="AE5" s="147" t="s">
        <v>229</v>
      </c>
      <c r="AF5" s="147" t="s">
        <v>74</v>
      </c>
      <c r="AG5" s="148" t="s">
        <v>230</v>
      </c>
      <c r="AH5" s="149">
        <v>2</v>
      </c>
      <c r="AI5" s="149" t="s">
        <v>75</v>
      </c>
      <c r="AJ5" s="149" t="s">
        <v>330</v>
      </c>
      <c r="AK5" s="149"/>
      <c r="AL5" s="149">
        <v>1773348</v>
      </c>
      <c r="AM5" s="149">
        <v>70200</v>
      </c>
      <c r="AN5" s="149">
        <v>0</v>
      </c>
      <c r="AO5" s="149">
        <f t="shared" si="7"/>
        <v>1843548</v>
      </c>
      <c r="AP5" s="149">
        <f t="shared" si="8"/>
        <v>55306440</v>
      </c>
      <c r="AQ5" s="149">
        <v>9000000</v>
      </c>
      <c r="AR5" s="149">
        <f t="shared" ref="AR5:AR8" si="11">AB5*5308284</f>
        <v>0</v>
      </c>
      <c r="AS5" s="149">
        <v>11000000</v>
      </c>
      <c r="AT5" s="149">
        <f t="shared" si="9"/>
        <v>20000000</v>
      </c>
      <c r="AU5" s="149">
        <f t="shared" si="10"/>
        <v>75306440</v>
      </c>
    </row>
    <row r="6" spans="1:48" s="130" customFormat="1" x14ac:dyDescent="0.2">
      <c r="A6" s="153">
        <v>1202</v>
      </c>
      <c r="B6" s="153">
        <v>3</v>
      </c>
      <c r="C6" s="154" t="s">
        <v>31</v>
      </c>
      <c r="D6" s="155" t="s">
        <v>85</v>
      </c>
      <c r="E6" s="128">
        <v>1</v>
      </c>
      <c r="F6" s="127" t="str">
        <f t="shared" si="0"/>
        <v>مرد</v>
      </c>
      <c r="G6" s="127" t="s">
        <v>86</v>
      </c>
      <c r="H6" s="129">
        <v>5080115548</v>
      </c>
      <c r="I6" s="127" t="s">
        <v>59</v>
      </c>
      <c r="J6" s="127" t="s">
        <v>87</v>
      </c>
      <c r="K6" s="129">
        <v>28326974</v>
      </c>
      <c r="L6" s="129" t="s">
        <v>231</v>
      </c>
      <c r="M6" s="129">
        <v>5080115548</v>
      </c>
      <c r="N6" s="127">
        <v>2</v>
      </c>
      <c r="O6" s="127" t="str">
        <f t="shared" si="1"/>
        <v>متاهل</v>
      </c>
      <c r="P6" s="142">
        <v>0</v>
      </c>
      <c r="Q6" s="143">
        <v>2</v>
      </c>
      <c r="R6" s="143">
        <v>1395327</v>
      </c>
      <c r="S6" s="143"/>
      <c r="T6" s="143">
        <f t="shared" si="2"/>
        <v>0</v>
      </c>
      <c r="U6" s="143">
        <v>1395327</v>
      </c>
      <c r="V6" s="143">
        <f t="shared" si="3"/>
        <v>41859810</v>
      </c>
      <c r="W6" s="143">
        <v>5500000</v>
      </c>
      <c r="X6" s="143">
        <f t="shared" si="4"/>
        <v>0</v>
      </c>
      <c r="Y6" s="143">
        <v>8500000</v>
      </c>
      <c r="Z6" s="143">
        <f t="shared" si="5"/>
        <v>14000000</v>
      </c>
      <c r="AA6" s="143">
        <f t="shared" si="6"/>
        <v>55859810</v>
      </c>
      <c r="AB6" s="147">
        <v>0</v>
      </c>
      <c r="AC6" s="147" t="s">
        <v>227</v>
      </c>
      <c r="AD6" s="147" t="s">
        <v>232</v>
      </c>
      <c r="AE6" s="147" t="s">
        <v>229</v>
      </c>
      <c r="AF6" s="147" t="s">
        <v>74</v>
      </c>
      <c r="AG6" s="148" t="s">
        <v>230</v>
      </c>
      <c r="AH6" s="149">
        <v>2</v>
      </c>
      <c r="AI6" s="149" t="s">
        <v>75</v>
      </c>
      <c r="AJ6" s="149" t="s">
        <v>330</v>
      </c>
      <c r="AK6" s="149"/>
      <c r="AL6" s="149">
        <v>1773348</v>
      </c>
      <c r="AM6" s="149">
        <v>70200</v>
      </c>
      <c r="AN6" s="149">
        <v>0</v>
      </c>
      <c r="AO6" s="149">
        <f t="shared" si="7"/>
        <v>1843548</v>
      </c>
      <c r="AP6" s="149">
        <f t="shared" si="8"/>
        <v>55306440</v>
      </c>
      <c r="AQ6" s="149">
        <v>9000000</v>
      </c>
      <c r="AR6" s="149">
        <f t="shared" si="11"/>
        <v>0</v>
      </c>
      <c r="AS6" s="149">
        <v>11000000</v>
      </c>
      <c r="AT6" s="149">
        <f t="shared" si="9"/>
        <v>20000000</v>
      </c>
      <c r="AU6" s="149">
        <f t="shared" si="10"/>
        <v>75306440</v>
      </c>
    </row>
    <row r="7" spans="1:48" s="130" customFormat="1" x14ac:dyDescent="0.2">
      <c r="A7" s="153">
        <v>1203</v>
      </c>
      <c r="B7" s="153">
        <v>4</v>
      </c>
      <c r="C7" s="154" t="s">
        <v>65</v>
      </c>
      <c r="D7" s="155" t="s">
        <v>88</v>
      </c>
      <c r="E7" s="128">
        <v>1</v>
      </c>
      <c r="F7" s="127" t="str">
        <f t="shared" si="0"/>
        <v>مرد</v>
      </c>
      <c r="G7" s="127" t="s">
        <v>89</v>
      </c>
      <c r="H7" s="129">
        <v>64</v>
      </c>
      <c r="I7" s="127" t="s">
        <v>59</v>
      </c>
      <c r="J7" s="127" t="s">
        <v>90</v>
      </c>
      <c r="K7" s="129">
        <v>26904112</v>
      </c>
      <c r="L7" s="129" t="s">
        <v>233</v>
      </c>
      <c r="M7" s="129">
        <v>5089480931</v>
      </c>
      <c r="N7" s="127">
        <v>2</v>
      </c>
      <c r="O7" s="127" t="str">
        <f t="shared" si="1"/>
        <v>متاهل</v>
      </c>
      <c r="P7" s="142">
        <v>0</v>
      </c>
      <c r="Q7" s="143">
        <v>2</v>
      </c>
      <c r="R7" s="143">
        <v>1395327</v>
      </c>
      <c r="S7" s="143"/>
      <c r="T7" s="143">
        <f t="shared" si="2"/>
        <v>0</v>
      </c>
      <c r="U7" s="143">
        <v>1395327</v>
      </c>
      <c r="V7" s="143">
        <f t="shared" si="3"/>
        <v>41859810</v>
      </c>
      <c r="W7" s="143">
        <v>5500000</v>
      </c>
      <c r="X7" s="143">
        <f t="shared" si="4"/>
        <v>0</v>
      </c>
      <c r="Y7" s="143">
        <v>8500000</v>
      </c>
      <c r="Z7" s="143">
        <f t="shared" si="5"/>
        <v>14000000</v>
      </c>
      <c r="AA7" s="143">
        <f t="shared" si="6"/>
        <v>55859810</v>
      </c>
      <c r="AB7" s="147">
        <v>0</v>
      </c>
      <c r="AC7" s="147" t="s">
        <v>227</v>
      </c>
      <c r="AD7" s="147" t="s">
        <v>234</v>
      </c>
      <c r="AE7" s="147" t="s">
        <v>229</v>
      </c>
      <c r="AF7" s="147" t="s">
        <v>74</v>
      </c>
      <c r="AG7" s="148" t="s">
        <v>230</v>
      </c>
      <c r="AH7" s="149">
        <v>2</v>
      </c>
      <c r="AI7" s="149" t="s">
        <v>75</v>
      </c>
      <c r="AJ7" s="149" t="s">
        <v>330</v>
      </c>
      <c r="AK7" s="149"/>
      <c r="AL7" s="149">
        <v>1773348</v>
      </c>
      <c r="AM7" s="149">
        <v>70200</v>
      </c>
      <c r="AN7" s="149">
        <v>0</v>
      </c>
      <c r="AO7" s="149">
        <f t="shared" si="7"/>
        <v>1843548</v>
      </c>
      <c r="AP7" s="149">
        <f t="shared" si="8"/>
        <v>55306440</v>
      </c>
      <c r="AQ7" s="149">
        <v>9000000</v>
      </c>
      <c r="AR7" s="149">
        <f t="shared" si="11"/>
        <v>0</v>
      </c>
      <c r="AS7" s="149">
        <v>11000000</v>
      </c>
      <c r="AT7" s="149">
        <f t="shared" si="9"/>
        <v>20000000</v>
      </c>
      <c r="AU7" s="149">
        <f t="shared" si="10"/>
        <v>75306440</v>
      </c>
    </row>
    <row r="8" spans="1:48" s="130" customFormat="1" x14ac:dyDescent="0.55000000000000004">
      <c r="A8" s="153">
        <v>1204</v>
      </c>
      <c r="B8" s="153">
        <v>5</v>
      </c>
      <c r="C8" s="154" t="s">
        <v>64</v>
      </c>
      <c r="D8" s="155" t="s">
        <v>71</v>
      </c>
      <c r="E8" s="128">
        <v>1</v>
      </c>
      <c r="F8" s="127" t="str">
        <f t="shared" si="0"/>
        <v>مرد</v>
      </c>
      <c r="G8" s="127" t="s">
        <v>72</v>
      </c>
      <c r="H8" s="129">
        <v>4311142481</v>
      </c>
      <c r="I8" s="127" t="s">
        <v>59</v>
      </c>
      <c r="J8" s="127" t="s">
        <v>73</v>
      </c>
      <c r="K8" s="129">
        <v>26629839</v>
      </c>
      <c r="L8" s="129" t="s">
        <v>235</v>
      </c>
      <c r="M8" s="129">
        <v>4311142481</v>
      </c>
      <c r="N8" s="127">
        <v>1</v>
      </c>
      <c r="O8" s="127" t="str">
        <f t="shared" si="1"/>
        <v>مجرد</v>
      </c>
      <c r="P8" s="142">
        <v>0</v>
      </c>
      <c r="Q8" s="143">
        <v>2</v>
      </c>
      <c r="R8" s="143">
        <v>1395327</v>
      </c>
      <c r="S8" s="143"/>
      <c r="T8" s="143">
        <f t="shared" si="2"/>
        <v>0</v>
      </c>
      <c r="U8" s="143">
        <v>1395327</v>
      </c>
      <c r="V8" s="143">
        <f t="shared" si="3"/>
        <v>41859810</v>
      </c>
      <c r="W8" s="143">
        <v>5500000</v>
      </c>
      <c r="X8" s="143">
        <f t="shared" si="4"/>
        <v>0</v>
      </c>
      <c r="Y8" s="143">
        <v>8500000</v>
      </c>
      <c r="Z8" s="143">
        <f t="shared" si="5"/>
        <v>14000000</v>
      </c>
      <c r="AA8" s="143">
        <f t="shared" si="6"/>
        <v>55859810</v>
      </c>
      <c r="AB8" s="147">
        <v>0</v>
      </c>
      <c r="AC8" s="147" t="s">
        <v>227</v>
      </c>
      <c r="AD8" s="147" t="s">
        <v>228</v>
      </c>
      <c r="AE8" s="147" t="s">
        <v>229</v>
      </c>
      <c r="AF8" s="147" t="s">
        <v>74</v>
      </c>
      <c r="AG8" s="148" t="s">
        <v>230</v>
      </c>
      <c r="AH8" s="149">
        <v>2</v>
      </c>
      <c r="AI8" s="149" t="s">
        <v>75</v>
      </c>
      <c r="AJ8" s="149" t="s">
        <v>330</v>
      </c>
      <c r="AK8" s="149"/>
      <c r="AL8" s="149">
        <v>1773348</v>
      </c>
      <c r="AM8" s="149">
        <v>70200</v>
      </c>
      <c r="AN8" s="149">
        <v>0</v>
      </c>
      <c r="AO8" s="149">
        <f t="shared" si="7"/>
        <v>1843548</v>
      </c>
      <c r="AP8" s="149">
        <f t="shared" si="8"/>
        <v>55306440</v>
      </c>
      <c r="AQ8" s="149">
        <v>9000000</v>
      </c>
      <c r="AR8" s="149">
        <f t="shared" si="11"/>
        <v>0</v>
      </c>
      <c r="AS8" s="149">
        <v>11000000</v>
      </c>
      <c r="AT8" s="149">
        <f t="shared" si="9"/>
        <v>20000000</v>
      </c>
      <c r="AU8" s="149">
        <f t="shared" si="10"/>
        <v>75306440</v>
      </c>
      <c r="AV8" s="75"/>
    </row>
    <row r="9" spans="1:48" s="130" customFormat="1" x14ac:dyDescent="0.55000000000000004">
      <c r="A9" s="153">
        <v>1205</v>
      </c>
      <c r="B9" s="153">
        <v>6</v>
      </c>
      <c r="C9" s="154" t="s">
        <v>339</v>
      </c>
      <c r="D9" s="155" t="s">
        <v>340</v>
      </c>
      <c r="E9" s="128"/>
      <c r="F9" s="127"/>
      <c r="G9" s="127"/>
      <c r="H9" s="129"/>
      <c r="I9" s="127"/>
      <c r="J9" s="127"/>
      <c r="K9" s="129"/>
      <c r="L9" s="129"/>
      <c r="M9" s="129"/>
      <c r="N9" s="127"/>
      <c r="O9" s="127"/>
      <c r="P9" s="142">
        <v>4</v>
      </c>
      <c r="Q9" s="143">
        <v>7</v>
      </c>
      <c r="R9" s="143">
        <v>1414869</v>
      </c>
      <c r="S9" s="143">
        <v>71200</v>
      </c>
      <c r="T9" s="143">
        <f t="shared" si="2"/>
        <v>430816</v>
      </c>
      <c r="U9" s="143">
        <v>1916885</v>
      </c>
      <c r="V9" s="143">
        <f t="shared" si="3"/>
        <v>57506550</v>
      </c>
      <c r="W9" s="143">
        <v>5500000</v>
      </c>
      <c r="X9" s="143">
        <f t="shared" si="4"/>
        <v>16719000</v>
      </c>
      <c r="Y9" s="143">
        <v>8500000</v>
      </c>
      <c r="Z9" s="143">
        <f t="shared" si="5"/>
        <v>30719000</v>
      </c>
      <c r="AA9" s="143">
        <f t="shared" si="6"/>
        <v>88225550</v>
      </c>
      <c r="AB9" s="147"/>
      <c r="AC9" s="147"/>
      <c r="AD9" s="147"/>
      <c r="AE9" s="147"/>
      <c r="AF9" s="147"/>
      <c r="AG9" s="148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75"/>
    </row>
    <row r="10" spans="1:48" s="130" customFormat="1" x14ac:dyDescent="0.55000000000000004">
      <c r="A10" s="153">
        <v>1206</v>
      </c>
      <c r="B10" s="153">
        <v>7</v>
      </c>
      <c r="C10" s="154" t="s">
        <v>78</v>
      </c>
      <c r="D10" s="155" t="s">
        <v>92</v>
      </c>
      <c r="E10" s="128">
        <v>1</v>
      </c>
      <c r="F10" s="127" t="str">
        <f t="shared" si="0"/>
        <v>مرد</v>
      </c>
      <c r="G10" s="127" t="s">
        <v>93</v>
      </c>
      <c r="H10" s="129">
        <v>12</v>
      </c>
      <c r="I10" s="127" t="s">
        <v>94</v>
      </c>
      <c r="J10" s="127" t="s">
        <v>95</v>
      </c>
      <c r="K10" s="129">
        <v>28302347</v>
      </c>
      <c r="L10" s="129" t="s">
        <v>248</v>
      </c>
      <c r="M10" s="129">
        <v>1533124051</v>
      </c>
      <c r="N10" s="127">
        <v>2</v>
      </c>
      <c r="O10" s="127" t="str">
        <f t="shared" si="1"/>
        <v>متاهل</v>
      </c>
      <c r="P10" s="142">
        <v>2</v>
      </c>
      <c r="Q10" s="143">
        <v>5</v>
      </c>
      <c r="R10" s="143">
        <v>1406229</v>
      </c>
      <c r="S10" s="143">
        <v>70800</v>
      </c>
      <c r="T10" s="143">
        <f t="shared" si="2"/>
        <v>350401</v>
      </c>
      <c r="U10" s="143">
        <v>1827430</v>
      </c>
      <c r="V10" s="143">
        <f t="shared" si="3"/>
        <v>54822900</v>
      </c>
      <c r="W10" s="143">
        <v>5500000</v>
      </c>
      <c r="X10" s="143">
        <f t="shared" si="4"/>
        <v>8359500</v>
      </c>
      <c r="Y10" s="143">
        <v>8500000</v>
      </c>
      <c r="Z10" s="143">
        <f t="shared" si="5"/>
        <v>22359500</v>
      </c>
      <c r="AA10" s="143">
        <f t="shared" si="6"/>
        <v>77182400</v>
      </c>
      <c r="AB10" s="147">
        <v>2</v>
      </c>
      <c r="AC10" s="147" t="s">
        <v>227</v>
      </c>
      <c r="AD10" s="147" t="s">
        <v>189</v>
      </c>
      <c r="AE10" s="147" t="s">
        <v>229</v>
      </c>
      <c r="AF10" s="147" t="s">
        <v>96</v>
      </c>
      <c r="AG10" s="148" t="s">
        <v>249</v>
      </c>
      <c r="AH10" s="149">
        <v>5</v>
      </c>
      <c r="AI10" s="149" t="s">
        <v>97</v>
      </c>
      <c r="AJ10" s="149" t="s">
        <v>330</v>
      </c>
      <c r="AK10" s="149"/>
      <c r="AL10" s="149">
        <v>1785133</v>
      </c>
      <c r="AM10" s="149">
        <v>70800</v>
      </c>
      <c r="AN10" s="149">
        <v>509653.29999999981</v>
      </c>
      <c r="AO10" s="149">
        <f t="shared" si="7"/>
        <v>2365586.2999999998</v>
      </c>
      <c r="AP10" s="149">
        <f t="shared" si="8"/>
        <v>70967589</v>
      </c>
      <c r="AQ10" s="149">
        <v>9000000</v>
      </c>
      <c r="AR10" s="149">
        <f t="shared" ref="AR10:AR27" si="12">AB10*5308284</f>
        <v>10616568</v>
      </c>
      <c r="AS10" s="149">
        <v>11000000</v>
      </c>
      <c r="AT10" s="149">
        <f t="shared" si="9"/>
        <v>30616568</v>
      </c>
      <c r="AU10" s="149">
        <f t="shared" si="10"/>
        <v>101584157</v>
      </c>
      <c r="AV10" s="75"/>
    </row>
    <row r="11" spans="1:48" s="130" customFormat="1" x14ac:dyDescent="0.55000000000000004">
      <c r="A11" s="153">
        <v>1207</v>
      </c>
      <c r="B11" s="153">
        <v>8</v>
      </c>
      <c r="C11" s="154" t="s">
        <v>98</v>
      </c>
      <c r="D11" s="155" t="s">
        <v>99</v>
      </c>
      <c r="E11" s="128">
        <v>1</v>
      </c>
      <c r="F11" s="127" t="str">
        <f t="shared" si="0"/>
        <v>مرد</v>
      </c>
      <c r="G11" s="127" t="s">
        <v>100</v>
      </c>
      <c r="H11" s="129">
        <v>12</v>
      </c>
      <c r="I11" s="127" t="s">
        <v>59</v>
      </c>
      <c r="J11" s="127" t="s">
        <v>101</v>
      </c>
      <c r="K11" s="129">
        <v>28309356</v>
      </c>
      <c r="L11" s="129" t="s">
        <v>245</v>
      </c>
      <c r="M11" s="129">
        <v>4324545146</v>
      </c>
      <c r="N11" s="127">
        <v>2</v>
      </c>
      <c r="O11" s="127" t="str">
        <f t="shared" si="1"/>
        <v>متاهل</v>
      </c>
      <c r="P11" s="142">
        <v>1</v>
      </c>
      <c r="Q11" s="143">
        <v>4</v>
      </c>
      <c r="R11" s="143">
        <v>1402977</v>
      </c>
      <c r="S11" s="143">
        <v>70600</v>
      </c>
      <c r="T11" s="143">
        <f t="shared" si="2"/>
        <v>180631</v>
      </c>
      <c r="U11" s="143">
        <v>1654208</v>
      </c>
      <c r="V11" s="143">
        <f t="shared" si="3"/>
        <v>49626240</v>
      </c>
      <c r="W11" s="143">
        <v>5500000</v>
      </c>
      <c r="X11" s="143">
        <f t="shared" si="4"/>
        <v>4179750</v>
      </c>
      <c r="Y11" s="143">
        <v>8500000</v>
      </c>
      <c r="Z11" s="143">
        <f t="shared" si="5"/>
        <v>18179750</v>
      </c>
      <c r="AA11" s="143">
        <f t="shared" si="6"/>
        <v>67805990</v>
      </c>
      <c r="AB11" s="147">
        <v>1</v>
      </c>
      <c r="AC11" s="147" t="s">
        <v>227</v>
      </c>
      <c r="AD11" s="147" t="s">
        <v>228</v>
      </c>
      <c r="AE11" s="147" t="s">
        <v>229</v>
      </c>
      <c r="AF11" s="147" t="s">
        <v>102</v>
      </c>
      <c r="AG11" s="148" t="s">
        <v>246</v>
      </c>
      <c r="AH11" s="149">
        <v>4</v>
      </c>
      <c r="AI11" s="149" t="s">
        <v>103</v>
      </c>
      <c r="AJ11" s="149" t="s">
        <v>330</v>
      </c>
      <c r="AK11" s="149"/>
      <c r="AL11" s="149">
        <v>1781198</v>
      </c>
      <c r="AM11" s="149">
        <v>70600</v>
      </c>
      <c r="AN11" s="149">
        <v>303989.6799999997</v>
      </c>
      <c r="AO11" s="149">
        <f t="shared" si="7"/>
        <v>2155787.6799999997</v>
      </c>
      <c r="AP11" s="149">
        <f t="shared" si="8"/>
        <v>64673630.399999991</v>
      </c>
      <c r="AQ11" s="149">
        <v>9000000</v>
      </c>
      <c r="AR11" s="149">
        <f t="shared" si="12"/>
        <v>5308284</v>
      </c>
      <c r="AS11" s="149">
        <v>11000000</v>
      </c>
      <c r="AT11" s="149">
        <f t="shared" si="9"/>
        <v>25308284</v>
      </c>
      <c r="AU11" s="149">
        <f t="shared" si="10"/>
        <v>89981914.399999991</v>
      </c>
      <c r="AV11" s="75"/>
    </row>
    <row r="12" spans="1:48" s="130" customFormat="1" x14ac:dyDescent="0.55000000000000004">
      <c r="A12" s="153">
        <v>1208</v>
      </c>
      <c r="B12" s="153">
        <v>9</v>
      </c>
      <c r="C12" s="154" t="s">
        <v>104</v>
      </c>
      <c r="D12" s="155" t="s">
        <v>105</v>
      </c>
      <c r="E12" s="128">
        <v>1</v>
      </c>
      <c r="F12" s="127" t="str">
        <f t="shared" si="0"/>
        <v>مرد</v>
      </c>
      <c r="G12" s="127" t="s">
        <v>106</v>
      </c>
      <c r="H12" s="129">
        <v>743</v>
      </c>
      <c r="I12" s="127" t="s">
        <v>107</v>
      </c>
      <c r="J12" s="127" t="s">
        <v>108</v>
      </c>
      <c r="K12" s="129">
        <v>27450119</v>
      </c>
      <c r="L12" s="129" t="s">
        <v>236</v>
      </c>
      <c r="M12" s="129">
        <v>5089295956</v>
      </c>
      <c r="N12" s="127">
        <v>2</v>
      </c>
      <c r="O12" s="127" t="str">
        <f t="shared" si="1"/>
        <v>متاهل</v>
      </c>
      <c r="P12" s="142">
        <v>3</v>
      </c>
      <c r="Q12" s="143">
        <v>2</v>
      </c>
      <c r="R12" s="143">
        <v>1395329</v>
      </c>
      <c r="S12" s="143"/>
      <c r="T12" s="143">
        <f t="shared" si="2"/>
        <v>0</v>
      </c>
      <c r="U12" s="143">
        <v>1395329</v>
      </c>
      <c r="V12" s="143">
        <f t="shared" si="3"/>
        <v>41859870</v>
      </c>
      <c r="W12" s="143">
        <v>5500000</v>
      </c>
      <c r="X12" s="143">
        <f t="shared" si="4"/>
        <v>12539250</v>
      </c>
      <c r="Y12" s="143">
        <v>8500000</v>
      </c>
      <c r="Z12" s="143">
        <f t="shared" si="5"/>
        <v>26539250</v>
      </c>
      <c r="AA12" s="143">
        <f t="shared" si="6"/>
        <v>68399120</v>
      </c>
      <c r="AB12" s="147">
        <v>3</v>
      </c>
      <c r="AC12" s="147" t="s">
        <v>227</v>
      </c>
      <c r="AD12" s="147" t="s">
        <v>228</v>
      </c>
      <c r="AE12" s="147" t="s">
        <v>229</v>
      </c>
      <c r="AF12" s="147" t="s">
        <v>74</v>
      </c>
      <c r="AG12" s="148" t="s">
        <v>230</v>
      </c>
      <c r="AH12" s="149">
        <v>2</v>
      </c>
      <c r="AI12" s="149" t="s">
        <v>109</v>
      </c>
      <c r="AJ12" s="149" t="s">
        <v>330</v>
      </c>
      <c r="AK12" s="149"/>
      <c r="AL12" s="149">
        <v>1773348</v>
      </c>
      <c r="AM12" s="149">
        <v>70200</v>
      </c>
      <c r="AN12" s="149">
        <v>0</v>
      </c>
      <c r="AO12" s="149">
        <f t="shared" si="7"/>
        <v>1843548</v>
      </c>
      <c r="AP12" s="149">
        <f t="shared" si="8"/>
        <v>55306440</v>
      </c>
      <c r="AQ12" s="149">
        <v>9000000</v>
      </c>
      <c r="AR12" s="149">
        <f t="shared" si="12"/>
        <v>15924852</v>
      </c>
      <c r="AS12" s="149">
        <v>11000000</v>
      </c>
      <c r="AT12" s="149">
        <f t="shared" si="9"/>
        <v>35924852</v>
      </c>
      <c r="AU12" s="149">
        <f t="shared" si="10"/>
        <v>91231292</v>
      </c>
      <c r="AV12" s="75"/>
    </row>
    <row r="13" spans="1:48" s="130" customFormat="1" x14ac:dyDescent="0.55000000000000004">
      <c r="A13" s="153">
        <v>1210</v>
      </c>
      <c r="B13" s="153">
        <v>10</v>
      </c>
      <c r="C13" s="154" t="s">
        <v>341</v>
      </c>
      <c r="D13" s="155" t="s">
        <v>342</v>
      </c>
      <c r="E13" s="128">
        <v>1</v>
      </c>
      <c r="F13" s="127" t="str">
        <f t="shared" si="0"/>
        <v>مرد</v>
      </c>
      <c r="G13" s="127" t="s">
        <v>186</v>
      </c>
      <c r="H13" s="129">
        <v>5080043695</v>
      </c>
      <c r="I13" s="127" t="s">
        <v>59</v>
      </c>
      <c r="J13" s="127" t="s">
        <v>187</v>
      </c>
      <c r="K13" s="129">
        <v>28328225</v>
      </c>
      <c r="L13" s="129">
        <v>9290681266</v>
      </c>
      <c r="M13" s="129">
        <v>5080043695</v>
      </c>
      <c r="N13" s="127">
        <v>1</v>
      </c>
      <c r="O13" s="127" t="str">
        <f t="shared" si="1"/>
        <v>مجرد</v>
      </c>
      <c r="P13" s="142">
        <v>0</v>
      </c>
      <c r="Q13" s="143">
        <v>5</v>
      </c>
      <c r="R13" s="143">
        <v>1406229</v>
      </c>
      <c r="S13" s="143">
        <v>70800</v>
      </c>
      <c r="T13" s="143">
        <f t="shared" si="2"/>
        <v>350401</v>
      </c>
      <c r="U13" s="143">
        <v>1827430</v>
      </c>
      <c r="V13" s="143">
        <f t="shared" si="3"/>
        <v>54822900</v>
      </c>
      <c r="W13" s="143">
        <v>5500000</v>
      </c>
      <c r="X13" s="143">
        <f t="shared" si="4"/>
        <v>0</v>
      </c>
      <c r="Y13" s="143">
        <v>8500000</v>
      </c>
      <c r="Z13" s="143">
        <f t="shared" si="5"/>
        <v>14000000</v>
      </c>
      <c r="AA13" s="143">
        <f t="shared" si="6"/>
        <v>68822900</v>
      </c>
      <c r="AB13" s="147">
        <v>0</v>
      </c>
      <c r="AC13" s="147" t="s">
        <v>227</v>
      </c>
      <c r="AD13" s="147" t="s">
        <v>254</v>
      </c>
      <c r="AE13" s="147" t="s">
        <v>276</v>
      </c>
      <c r="AF13" s="147" t="s">
        <v>277</v>
      </c>
      <c r="AG13" s="148" t="s">
        <v>278</v>
      </c>
      <c r="AH13" s="149">
        <v>13</v>
      </c>
      <c r="AI13" s="149" t="s">
        <v>279</v>
      </c>
      <c r="AJ13" s="149" t="s">
        <v>330</v>
      </c>
      <c r="AK13" s="149"/>
      <c r="AL13" s="149">
        <v>1837461</v>
      </c>
      <c r="AM13" s="149"/>
      <c r="AN13" s="149"/>
      <c r="AO13" s="149"/>
      <c r="AP13" s="149"/>
      <c r="AQ13" s="149"/>
      <c r="AR13" s="149"/>
      <c r="AS13" s="149"/>
      <c r="AT13" s="149"/>
      <c r="AU13" s="149"/>
      <c r="AV13" s="75"/>
    </row>
    <row r="14" spans="1:48" s="130" customFormat="1" x14ac:dyDescent="0.55000000000000004">
      <c r="A14" s="153">
        <v>1211</v>
      </c>
      <c r="B14" s="153">
        <v>11</v>
      </c>
      <c r="C14" s="154" t="s">
        <v>31</v>
      </c>
      <c r="D14" s="155" t="s">
        <v>111</v>
      </c>
      <c r="E14" s="128">
        <v>1</v>
      </c>
      <c r="F14" s="127" t="str">
        <f t="shared" si="0"/>
        <v>مرد</v>
      </c>
      <c r="G14" s="127" t="s">
        <v>78</v>
      </c>
      <c r="H14" s="129">
        <v>28074</v>
      </c>
      <c r="I14" s="127" t="s">
        <v>61</v>
      </c>
      <c r="J14" s="127" t="s">
        <v>112</v>
      </c>
      <c r="K14" s="129">
        <v>27216976</v>
      </c>
      <c r="L14" s="129" t="s">
        <v>271</v>
      </c>
      <c r="M14" s="129">
        <v>58932895</v>
      </c>
      <c r="N14" s="127">
        <v>2</v>
      </c>
      <c r="O14" s="127" t="str">
        <f t="shared" si="1"/>
        <v>متاهل</v>
      </c>
      <c r="P14" s="142">
        <v>3</v>
      </c>
      <c r="Q14" s="143">
        <v>10</v>
      </c>
      <c r="R14" s="143">
        <v>1430006</v>
      </c>
      <c r="S14" s="143">
        <v>71800</v>
      </c>
      <c r="T14" s="143">
        <f t="shared" si="2"/>
        <v>583589</v>
      </c>
      <c r="U14" s="143">
        <v>2085395</v>
      </c>
      <c r="V14" s="143">
        <f t="shared" si="3"/>
        <v>62561850</v>
      </c>
      <c r="W14" s="143">
        <v>5500000</v>
      </c>
      <c r="X14" s="143">
        <f t="shared" si="4"/>
        <v>12539250</v>
      </c>
      <c r="Y14" s="143">
        <v>8500000</v>
      </c>
      <c r="Z14" s="143">
        <f t="shared" si="5"/>
        <v>26539250</v>
      </c>
      <c r="AA14" s="143">
        <f t="shared" si="6"/>
        <v>89101100</v>
      </c>
      <c r="AB14" s="147">
        <v>3</v>
      </c>
      <c r="AC14" s="147" t="s">
        <v>227</v>
      </c>
      <c r="AD14" s="147" t="s">
        <v>228</v>
      </c>
      <c r="AE14" s="147" t="s">
        <v>229</v>
      </c>
      <c r="AF14" s="147" t="s">
        <v>113</v>
      </c>
      <c r="AG14" s="148" t="s">
        <v>272</v>
      </c>
      <c r="AH14" s="149">
        <v>10</v>
      </c>
      <c r="AI14" s="149" t="s">
        <v>114</v>
      </c>
      <c r="AJ14" s="149" t="s">
        <v>330</v>
      </c>
      <c r="AK14" s="149"/>
      <c r="AL14" s="149">
        <v>1813903</v>
      </c>
      <c r="AM14" s="149">
        <v>71800</v>
      </c>
      <c r="AN14" s="149">
        <v>793020.94999999972</v>
      </c>
      <c r="AO14" s="149">
        <f t="shared" si="7"/>
        <v>2678723.9499999997</v>
      </c>
      <c r="AP14" s="149">
        <f t="shared" si="8"/>
        <v>80361718.499999985</v>
      </c>
      <c r="AQ14" s="149">
        <v>9000000</v>
      </c>
      <c r="AR14" s="149">
        <f t="shared" si="12"/>
        <v>15924852</v>
      </c>
      <c r="AS14" s="149">
        <v>11000000</v>
      </c>
      <c r="AT14" s="149">
        <f t="shared" si="9"/>
        <v>35924852</v>
      </c>
      <c r="AU14" s="149">
        <f t="shared" si="10"/>
        <v>116286570.49999999</v>
      </c>
      <c r="AV14" s="75"/>
    </row>
    <row r="15" spans="1:48" s="130" customFormat="1" x14ac:dyDescent="0.55000000000000004">
      <c r="A15" s="153">
        <v>1212</v>
      </c>
      <c r="B15" s="153">
        <v>12</v>
      </c>
      <c r="C15" s="154" t="s">
        <v>115</v>
      </c>
      <c r="D15" s="155" t="s">
        <v>111</v>
      </c>
      <c r="E15" s="128">
        <v>1</v>
      </c>
      <c r="F15" s="127" t="str">
        <f t="shared" si="0"/>
        <v>مرد</v>
      </c>
      <c r="G15" s="127" t="s">
        <v>78</v>
      </c>
      <c r="H15" s="129">
        <v>9024</v>
      </c>
      <c r="I15" s="127" t="s">
        <v>61</v>
      </c>
      <c r="J15" s="127" t="s">
        <v>116</v>
      </c>
      <c r="K15" s="129">
        <v>28311635</v>
      </c>
      <c r="L15" s="129" t="s">
        <v>273</v>
      </c>
      <c r="M15" s="129">
        <v>74575643</v>
      </c>
      <c r="N15" s="127">
        <v>2</v>
      </c>
      <c r="O15" s="127" t="str">
        <f t="shared" si="1"/>
        <v>متاهل</v>
      </c>
      <c r="P15" s="142">
        <v>1</v>
      </c>
      <c r="Q15" s="143">
        <v>10</v>
      </c>
      <c r="R15" s="143">
        <v>1430006</v>
      </c>
      <c r="S15" s="143">
        <v>71800</v>
      </c>
      <c r="T15" s="143">
        <f t="shared" si="2"/>
        <v>583589</v>
      </c>
      <c r="U15" s="143">
        <v>2085395</v>
      </c>
      <c r="V15" s="143">
        <f t="shared" si="3"/>
        <v>62561850</v>
      </c>
      <c r="W15" s="143">
        <v>5500000</v>
      </c>
      <c r="X15" s="143">
        <f t="shared" si="4"/>
        <v>4179750</v>
      </c>
      <c r="Y15" s="143">
        <v>8500000</v>
      </c>
      <c r="Z15" s="143">
        <f t="shared" si="5"/>
        <v>18179750</v>
      </c>
      <c r="AA15" s="143">
        <f t="shared" si="6"/>
        <v>80741600</v>
      </c>
      <c r="AB15" s="147">
        <v>1</v>
      </c>
      <c r="AC15" s="147" t="s">
        <v>227</v>
      </c>
      <c r="AD15" s="147" t="s">
        <v>228</v>
      </c>
      <c r="AE15" s="147" t="s">
        <v>229</v>
      </c>
      <c r="AF15" s="147" t="s">
        <v>113</v>
      </c>
      <c r="AG15" s="148" t="s">
        <v>272</v>
      </c>
      <c r="AH15" s="149">
        <v>10</v>
      </c>
      <c r="AI15" s="149" t="s">
        <v>117</v>
      </c>
      <c r="AJ15" s="149" t="s">
        <v>330</v>
      </c>
      <c r="AK15" s="149"/>
      <c r="AL15" s="149">
        <v>1813903</v>
      </c>
      <c r="AM15" s="149">
        <v>71800</v>
      </c>
      <c r="AN15" s="149">
        <v>793020.94999999972</v>
      </c>
      <c r="AO15" s="149">
        <f t="shared" si="7"/>
        <v>2678723.9499999997</v>
      </c>
      <c r="AP15" s="149">
        <f t="shared" si="8"/>
        <v>80361718.499999985</v>
      </c>
      <c r="AQ15" s="149">
        <v>9000000</v>
      </c>
      <c r="AR15" s="149">
        <f t="shared" si="12"/>
        <v>5308284</v>
      </c>
      <c r="AS15" s="149">
        <v>11000000</v>
      </c>
      <c r="AT15" s="149">
        <f t="shared" si="9"/>
        <v>25308284</v>
      </c>
      <c r="AU15" s="149">
        <f t="shared" si="10"/>
        <v>105670002.49999999</v>
      </c>
      <c r="AV15" s="75"/>
    </row>
    <row r="16" spans="1:48" s="130" customFormat="1" x14ac:dyDescent="0.55000000000000004">
      <c r="A16" s="153">
        <v>1213</v>
      </c>
      <c r="B16" s="153">
        <v>13</v>
      </c>
      <c r="C16" s="154" t="s">
        <v>118</v>
      </c>
      <c r="D16" s="155" t="s">
        <v>119</v>
      </c>
      <c r="E16" s="128">
        <v>1</v>
      </c>
      <c r="F16" s="127" t="str">
        <f t="shared" si="0"/>
        <v>مرد</v>
      </c>
      <c r="G16" s="127" t="s">
        <v>120</v>
      </c>
      <c r="H16" s="129">
        <v>6</v>
      </c>
      <c r="I16" s="127" t="s">
        <v>66</v>
      </c>
      <c r="J16" s="127" t="s">
        <v>121</v>
      </c>
      <c r="K16" s="129">
        <v>27131432</v>
      </c>
      <c r="L16" s="129" t="s">
        <v>252</v>
      </c>
      <c r="M16" s="129">
        <v>2721814842</v>
      </c>
      <c r="N16" s="127">
        <v>2</v>
      </c>
      <c r="O16" s="127" t="str">
        <f t="shared" si="1"/>
        <v>متاهل</v>
      </c>
      <c r="P16" s="142">
        <v>1</v>
      </c>
      <c r="Q16" s="143">
        <v>6</v>
      </c>
      <c r="R16" s="143">
        <v>1410542</v>
      </c>
      <c r="S16" s="143"/>
      <c r="T16" s="143">
        <f t="shared" si="2"/>
        <v>30033</v>
      </c>
      <c r="U16" s="143">
        <v>1440575</v>
      </c>
      <c r="V16" s="143">
        <f t="shared" si="3"/>
        <v>43217250</v>
      </c>
      <c r="W16" s="143">
        <v>5500000</v>
      </c>
      <c r="X16" s="143">
        <f t="shared" si="4"/>
        <v>4179750</v>
      </c>
      <c r="Y16" s="143">
        <v>8500000</v>
      </c>
      <c r="Z16" s="143">
        <f t="shared" si="5"/>
        <v>18179750</v>
      </c>
      <c r="AA16" s="143">
        <f t="shared" si="6"/>
        <v>61397000</v>
      </c>
      <c r="AB16" s="147">
        <v>1</v>
      </c>
      <c r="AC16" s="147" t="s">
        <v>227</v>
      </c>
      <c r="AD16" s="147" t="s">
        <v>189</v>
      </c>
      <c r="AE16" s="147" t="s">
        <v>229</v>
      </c>
      <c r="AF16" s="147" t="s">
        <v>122</v>
      </c>
      <c r="AG16" s="148" t="s">
        <v>253</v>
      </c>
      <c r="AH16" s="149">
        <v>6</v>
      </c>
      <c r="AI16" s="149" t="s">
        <v>75</v>
      </c>
      <c r="AJ16" s="149" t="s">
        <v>330</v>
      </c>
      <c r="AK16" s="149"/>
      <c r="AL16" s="149">
        <v>1790351</v>
      </c>
      <c r="AM16" s="149">
        <v>71000</v>
      </c>
      <c r="AN16" s="149">
        <v>35540.75</v>
      </c>
      <c r="AO16" s="149">
        <f t="shared" si="7"/>
        <v>1896891.75</v>
      </c>
      <c r="AP16" s="149">
        <f t="shared" si="8"/>
        <v>56906752.5</v>
      </c>
      <c r="AQ16" s="149">
        <v>9000000</v>
      </c>
      <c r="AR16" s="149">
        <f t="shared" si="12"/>
        <v>5308284</v>
      </c>
      <c r="AS16" s="149">
        <v>11000000</v>
      </c>
      <c r="AT16" s="149">
        <f t="shared" si="9"/>
        <v>25308284</v>
      </c>
      <c r="AU16" s="149">
        <f t="shared" si="10"/>
        <v>82215036.5</v>
      </c>
      <c r="AV16" s="75"/>
    </row>
    <row r="17" spans="1:48" s="130" customFormat="1" x14ac:dyDescent="0.55000000000000004">
      <c r="A17" s="153">
        <v>1214</v>
      </c>
      <c r="B17" s="153">
        <v>14</v>
      </c>
      <c r="C17" s="154" t="s">
        <v>123</v>
      </c>
      <c r="D17" s="155" t="s">
        <v>124</v>
      </c>
      <c r="E17" s="128">
        <v>1</v>
      </c>
      <c r="F17" s="127" t="str">
        <f t="shared" si="0"/>
        <v>مرد</v>
      </c>
      <c r="G17" s="127" t="s">
        <v>67</v>
      </c>
      <c r="H17" s="129">
        <v>2394</v>
      </c>
      <c r="I17" s="127" t="s">
        <v>59</v>
      </c>
      <c r="J17" s="127" t="s">
        <v>125</v>
      </c>
      <c r="K17" s="129">
        <v>26388223</v>
      </c>
      <c r="L17" s="129" t="s">
        <v>268</v>
      </c>
      <c r="M17" s="129">
        <v>4323557884</v>
      </c>
      <c r="N17" s="127">
        <v>2</v>
      </c>
      <c r="O17" s="127" t="str">
        <f t="shared" si="1"/>
        <v>متاهل</v>
      </c>
      <c r="P17" s="142">
        <v>2</v>
      </c>
      <c r="Q17" s="143">
        <v>7</v>
      </c>
      <c r="R17" s="143">
        <v>1414869</v>
      </c>
      <c r="S17" s="143">
        <v>71200</v>
      </c>
      <c r="T17" s="143">
        <f t="shared" si="2"/>
        <v>430816</v>
      </c>
      <c r="U17" s="143">
        <v>1916885</v>
      </c>
      <c r="V17" s="143">
        <f t="shared" si="3"/>
        <v>57506550</v>
      </c>
      <c r="W17" s="143">
        <v>5500000</v>
      </c>
      <c r="X17" s="143">
        <f t="shared" si="4"/>
        <v>8359500</v>
      </c>
      <c r="Y17" s="143">
        <v>8500000</v>
      </c>
      <c r="Z17" s="143">
        <f t="shared" si="5"/>
        <v>22359500</v>
      </c>
      <c r="AA17" s="143">
        <f t="shared" si="6"/>
        <v>79866050</v>
      </c>
      <c r="AB17" s="147">
        <v>2</v>
      </c>
      <c r="AC17" s="147" t="s">
        <v>227</v>
      </c>
      <c r="AD17" s="147" t="s">
        <v>228</v>
      </c>
      <c r="AE17" s="147" t="s">
        <v>229</v>
      </c>
      <c r="AF17" s="147" t="s">
        <v>91</v>
      </c>
      <c r="AG17" s="148" t="s">
        <v>269</v>
      </c>
      <c r="AH17" s="149">
        <v>7</v>
      </c>
      <c r="AI17" s="149" t="s">
        <v>126</v>
      </c>
      <c r="AJ17" s="149" t="s">
        <v>330</v>
      </c>
      <c r="AK17" s="149"/>
      <c r="AL17" s="149">
        <v>1795587</v>
      </c>
      <c r="AM17" s="149">
        <v>71200</v>
      </c>
      <c r="AN17" s="149">
        <v>607439.85000000009</v>
      </c>
      <c r="AO17" s="149">
        <f t="shared" si="7"/>
        <v>2474226.85</v>
      </c>
      <c r="AP17" s="149">
        <f t="shared" si="8"/>
        <v>74226805.5</v>
      </c>
      <c r="AQ17" s="149">
        <v>9000000</v>
      </c>
      <c r="AR17" s="149">
        <f t="shared" si="12"/>
        <v>10616568</v>
      </c>
      <c r="AS17" s="149">
        <v>11000000</v>
      </c>
      <c r="AT17" s="149">
        <f t="shared" si="9"/>
        <v>30616568</v>
      </c>
      <c r="AU17" s="149">
        <f t="shared" si="10"/>
        <v>104843373.5</v>
      </c>
      <c r="AV17" s="75"/>
    </row>
    <row r="18" spans="1:48" s="130" customFormat="1" x14ac:dyDescent="0.55000000000000004">
      <c r="A18" s="153">
        <v>1215</v>
      </c>
      <c r="B18" s="153">
        <v>15</v>
      </c>
      <c r="C18" s="154" t="s">
        <v>127</v>
      </c>
      <c r="D18" s="155" t="s">
        <v>128</v>
      </c>
      <c r="E18" s="128">
        <v>1</v>
      </c>
      <c r="F18" s="127" t="str">
        <f t="shared" si="0"/>
        <v>مرد</v>
      </c>
      <c r="G18" s="127" t="s">
        <v>129</v>
      </c>
      <c r="H18" s="129">
        <v>13</v>
      </c>
      <c r="I18" s="127" t="s">
        <v>107</v>
      </c>
      <c r="J18" s="127" t="s">
        <v>130</v>
      </c>
      <c r="K18" s="129">
        <v>26922928</v>
      </c>
      <c r="L18" s="129" t="s">
        <v>237</v>
      </c>
      <c r="M18" s="129">
        <v>5089858527</v>
      </c>
      <c r="N18" s="127">
        <v>2</v>
      </c>
      <c r="O18" s="127" t="str">
        <f t="shared" si="1"/>
        <v>متاهل</v>
      </c>
      <c r="P18" s="142">
        <v>2</v>
      </c>
      <c r="Q18" s="143">
        <v>2</v>
      </c>
      <c r="R18" s="143">
        <v>1395327</v>
      </c>
      <c r="S18" s="143"/>
      <c r="T18" s="143">
        <f t="shared" si="2"/>
        <v>0</v>
      </c>
      <c r="U18" s="143">
        <v>1395327</v>
      </c>
      <c r="V18" s="143">
        <f t="shared" si="3"/>
        <v>41859810</v>
      </c>
      <c r="W18" s="143">
        <v>5500000</v>
      </c>
      <c r="X18" s="143">
        <f t="shared" si="4"/>
        <v>8359500</v>
      </c>
      <c r="Y18" s="143">
        <v>8500000</v>
      </c>
      <c r="Z18" s="143">
        <f t="shared" si="5"/>
        <v>22359500</v>
      </c>
      <c r="AA18" s="143">
        <f t="shared" si="6"/>
        <v>64219310</v>
      </c>
      <c r="AB18" s="147">
        <v>2</v>
      </c>
      <c r="AC18" s="147" t="s">
        <v>227</v>
      </c>
      <c r="AD18" s="147" t="s">
        <v>228</v>
      </c>
      <c r="AE18" s="147" t="s">
        <v>229</v>
      </c>
      <c r="AF18" s="147" t="s">
        <v>74</v>
      </c>
      <c r="AG18" s="148" t="s">
        <v>230</v>
      </c>
      <c r="AH18" s="149">
        <v>2</v>
      </c>
      <c r="AI18" s="149" t="s">
        <v>75</v>
      </c>
      <c r="AJ18" s="149" t="s">
        <v>330</v>
      </c>
      <c r="AK18" s="149"/>
      <c r="AL18" s="149">
        <v>1773348</v>
      </c>
      <c r="AM18" s="149">
        <v>70200</v>
      </c>
      <c r="AN18" s="149">
        <v>0</v>
      </c>
      <c r="AO18" s="149">
        <f t="shared" si="7"/>
        <v>1843548</v>
      </c>
      <c r="AP18" s="149">
        <f t="shared" si="8"/>
        <v>55306440</v>
      </c>
      <c r="AQ18" s="149">
        <v>9000000</v>
      </c>
      <c r="AR18" s="149">
        <f t="shared" si="12"/>
        <v>10616568</v>
      </c>
      <c r="AS18" s="149">
        <v>11000000</v>
      </c>
      <c r="AT18" s="149">
        <f t="shared" si="9"/>
        <v>30616568</v>
      </c>
      <c r="AU18" s="149">
        <f t="shared" si="10"/>
        <v>85923008</v>
      </c>
      <c r="AV18" s="75"/>
    </row>
    <row r="19" spans="1:48" s="130" customFormat="1" x14ac:dyDescent="0.55000000000000004">
      <c r="A19" s="153">
        <v>1216</v>
      </c>
      <c r="B19" s="153">
        <v>16</v>
      </c>
      <c r="C19" s="154" t="s">
        <v>131</v>
      </c>
      <c r="D19" s="155" t="s">
        <v>132</v>
      </c>
      <c r="E19" s="128">
        <v>1</v>
      </c>
      <c r="F19" s="127" t="str">
        <f t="shared" si="0"/>
        <v>مرد</v>
      </c>
      <c r="G19" s="127" t="s">
        <v>133</v>
      </c>
      <c r="H19" s="129">
        <v>341</v>
      </c>
      <c r="I19" s="127" t="s">
        <v>59</v>
      </c>
      <c r="J19" s="127" t="s">
        <v>134</v>
      </c>
      <c r="K19" s="129">
        <v>27457338</v>
      </c>
      <c r="L19" s="129" t="s">
        <v>250</v>
      </c>
      <c r="M19" s="129">
        <v>5809631770</v>
      </c>
      <c r="N19" s="127">
        <v>2</v>
      </c>
      <c r="O19" s="127" t="str">
        <f t="shared" si="1"/>
        <v>متاهل</v>
      </c>
      <c r="P19" s="142">
        <v>2</v>
      </c>
      <c r="Q19" s="143">
        <v>5</v>
      </c>
      <c r="R19" s="143">
        <v>1406229</v>
      </c>
      <c r="S19" s="143">
        <v>70800</v>
      </c>
      <c r="T19" s="143">
        <f t="shared" si="2"/>
        <v>350401</v>
      </c>
      <c r="U19" s="143">
        <v>1827430</v>
      </c>
      <c r="V19" s="143">
        <f t="shared" si="3"/>
        <v>54822900</v>
      </c>
      <c r="W19" s="143">
        <v>5500000</v>
      </c>
      <c r="X19" s="143">
        <f t="shared" si="4"/>
        <v>8359500</v>
      </c>
      <c r="Y19" s="143">
        <v>8500000</v>
      </c>
      <c r="Z19" s="143">
        <f t="shared" si="5"/>
        <v>22359500</v>
      </c>
      <c r="AA19" s="143">
        <f t="shared" si="6"/>
        <v>77182400</v>
      </c>
      <c r="AB19" s="147">
        <v>2</v>
      </c>
      <c r="AC19" s="147" t="s">
        <v>227</v>
      </c>
      <c r="AD19" s="147" t="s">
        <v>228</v>
      </c>
      <c r="AE19" s="147" t="s">
        <v>229</v>
      </c>
      <c r="AF19" s="147" t="s">
        <v>96</v>
      </c>
      <c r="AG19" s="148" t="s">
        <v>249</v>
      </c>
      <c r="AH19" s="149">
        <v>5</v>
      </c>
      <c r="AI19" s="149" t="s">
        <v>135</v>
      </c>
      <c r="AJ19" s="149" t="s">
        <v>330</v>
      </c>
      <c r="AK19" s="149"/>
      <c r="AL19" s="149">
        <v>1785133</v>
      </c>
      <c r="AM19" s="149">
        <v>70800</v>
      </c>
      <c r="AN19" s="149">
        <v>509653.29999999981</v>
      </c>
      <c r="AO19" s="149">
        <f t="shared" si="7"/>
        <v>2365586.2999999998</v>
      </c>
      <c r="AP19" s="149">
        <f t="shared" si="8"/>
        <v>70967589</v>
      </c>
      <c r="AQ19" s="149">
        <v>9000000</v>
      </c>
      <c r="AR19" s="149">
        <f t="shared" si="12"/>
        <v>10616568</v>
      </c>
      <c r="AS19" s="149">
        <v>11000000</v>
      </c>
      <c r="AT19" s="149">
        <f t="shared" si="9"/>
        <v>30616568</v>
      </c>
      <c r="AU19" s="149">
        <f t="shared" si="10"/>
        <v>101584157</v>
      </c>
      <c r="AV19" s="75"/>
    </row>
    <row r="20" spans="1:48" s="130" customFormat="1" x14ac:dyDescent="0.55000000000000004">
      <c r="A20" s="153">
        <v>1217</v>
      </c>
      <c r="B20" s="153">
        <v>17</v>
      </c>
      <c r="C20" s="154" t="s">
        <v>171</v>
      </c>
      <c r="D20" s="155" t="s">
        <v>172</v>
      </c>
      <c r="E20" s="128"/>
      <c r="F20" s="127"/>
      <c r="G20" s="127"/>
      <c r="H20" s="127"/>
      <c r="I20" s="127"/>
      <c r="J20" s="127"/>
      <c r="K20" s="129"/>
      <c r="L20" s="129"/>
      <c r="M20" s="129"/>
      <c r="N20" s="127"/>
      <c r="O20" s="127"/>
      <c r="P20" s="142">
        <v>2</v>
      </c>
      <c r="Q20" s="143">
        <v>2</v>
      </c>
      <c r="R20" s="143">
        <v>1395328</v>
      </c>
      <c r="S20" s="143"/>
      <c r="T20" s="143">
        <f t="shared" ref="T20" si="13">U20-R20-S20</f>
        <v>0</v>
      </c>
      <c r="U20" s="143">
        <v>1395328</v>
      </c>
      <c r="V20" s="143">
        <f t="shared" ref="V20" si="14">U20*30</f>
        <v>41859840</v>
      </c>
      <c r="W20" s="143">
        <v>5500000</v>
      </c>
      <c r="X20" s="143">
        <f t="shared" ref="X20" si="15">P20*4179750</f>
        <v>8359500</v>
      </c>
      <c r="Y20" s="143">
        <v>8500000</v>
      </c>
      <c r="Z20" s="143">
        <f t="shared" ref="Z20" si="16">SUM(W20:Y20)</f>
        <v>22359500</v>
      </c>
      <c r="AA20" s="143">
        <f t="shared" ref="AA20" si="17">Z20+V20</f>
        <v>64219340</v>
      </c>
      <c r="AB20" s="147">
        <v>2</v>
      </c>
      <c r="AC20" s="147"/>
      <c r="AD20" s="147"/>
      <c r="AE20" s="147"/>
      <c r="AF20" s="147"/>
      <c r="AG20" s="148"/>
      <c r="AH20" s="149">
        <v>2</v>
      </c>
      <c r="AI20" s="149"/>
      <c r="AJ20" s="149"/>
      <c r="AK20" s="149"/>
      <c r="AL20" s="149">
        <v>1773348</v>
      </c>
      <c r="AM20" s="149"/>
      <c r="AN20" s="149">
        <v>0</v>
      </c>
      <c r="AO20" s="149">
        <v>1773348</v>
      </c>
      <c r="AP20" s="149">
        <f t="shared" ref="AP20:AP21" si="18">AO20*30</f>
        <v>53200440</v>
      </c>
      <c r="AQ20" s="149">
        <v>9000000</v>
      </c>
      <c r="AR20" s="149">
        <f t="shared" ref="AR20:AR21" si="19">AB20*5308284</f>
        <v>10616568</v>
      </c>
      <c r="AS20" s="149">
        <v>11000000</v>
      </c>
      <c r="AT20" s="149">
        <f t="shared" ref="AT20:AT21" si="20">SUM(AQ20:AS20)</f>
        <v>30616568</v>
      </c>
      <c r="AU20" s="149">
        <f t="shared" ref="AU20:AU21" si="21">AT20+AP20</f>
        <v>83817008</v>
      </c>
      <c r="AV20" s="75"/>
    </row>
    <row r="21" spans="1:48" s="130" customFormat="1" x14ac:dyDescent="0.55000000000000004">
      <c r="A21" s="153">
        <v>1218</v>
      </c>
      <c r="B21" s="153">
        <v>18</v>
      </c>
      <c r="C21" s="154" t="s">
        <v>136</v>
      </c>
      <c r="D21" s="155" t="s">
        <v>137</v>
      </c>
      <c r="E21" s="128">
        <v>1</v>
      </c>
      <c r="F21" s="127" t="str">
        <f t="shared" si="0"/>
        <v>مرد</v>
      </c>
      <c r="G21" s="127" t="s">
        <v>138</v>
      </c>
      <c r="H21" s="127">
        <v>2</v>
      </c>
      <c r="I21" s="127" t="s">
        <v>59</v>
      </c>
      <c r="J21" s="127" t="s">
        <v>139</v>
      </c>
      <c r="K21" s="129">
        <v>27235179</v>
      </c>
      <c r="L21" s="129" t="s">
        <v>251</v>
      </c>
      <c r="M21" s="129">
        <v>5809938493</v>
      </c>
      <c r="N21" s="127">
        <v>2</v>
      </c>
      <c r="O21" s="127" t="str">
        <f t="shared" si="1"/>
        <v>متاهل</v>
      </c>
      <c r="P21" s="142">
        <v>2</v>
      </c>
      <c r="Q21" s="143">
        <v>5</v>
      </c>
      <c r="R21" s="143">
        <v>1406229</v>
      </c>
      <c r="S21" s="143">
        <v>70800</v>
      </c>
      <c r="T21" s="143">
        <f t="shared" si="2"/>
        <v>350401</v>
      </c>
      <c r="U21" s="143">
        <v>1827430</v>
      </c>
      <c r="V21" s="143">
        <f t="shared" si="3"/>
        <v>54822900</v>
      </c>
      <c r="W21" s="143">
        <v>5500000</v>
      </c>
      <c r="X21" s="143">
        <f t="shared" si="4"/>
        <v>8359500</v>
      </c>
      <c r="Y21" s="143">
        <v>8500000</v>
      </c>
      <c r="Z21" s="143">
        <f t="shared" si="5"/>
        <v>22359500</v>
      </c>
      <c r="AA21" s="143">
        <f t="shared" si="6"/>
        <v>77182400</v>
      </c>
      <c r="AB21" s="147">
        <v>2</v>
      </c>
      <c r="AC21" s="147" t="s">
        <v>227</v>
      </c>
      <c r="AD21" s="147" t="s">
        <v>228</v>
      </c>
      <c r="AE21" s="147" t="s">
        <v>229</v>
      </c>
      <c r="AF21" s="147" t="s">
        <v>96</v>
      </c>
      <c r="AG21" s="148" t="s">
        <v>249</v>
      </c>
      <c r="AH21" s="149">
        <v>5</v>
      </c>
      <c r="AI21" s="149" t="s">
        <v>110</v>
      </c>
      <c r="AJ21" s="149" t="s">
        <v>330</v>
      </c>
      <c r="AK21" s="149"/>
      <c r="AL21" s="149">
        <v>1785133</v>
      </c>
      <c r="AM21" s="149">
        <v>70800</v>
      </c>
      <c r="AN21" s="149">
        <v>509653.29999999981</v>
      </c>
      <c r="AO21" s="149">
        <f t="shared" si="7"/>
        <v>2365586.2999999998</v>
      </c>
      <c r="AP21" s="149">
        <f t="shared" si="18"/>
        <v>70967589</v>
      </c>
      <c r="AQ21" s="149">
        <v>9000000</v>
      </c>
      <c r="AR21" s="149">
        <f t="shared" si="19"/>
        <v>10616568</v>
      </c>
      <c r="AS21" s="149">
        <v>11000000</v>
      </c>
      <c r="AT21" s="149">
        <f t="shared" si="20"/>
        <v>30616568</v>
      </c>
      <c r="AU21" s="149">
        <f t="shared" si="21"/>
        <v>101584157</v>
      </c>
      <c r="AV21" s="75"/>
    </row>
    <row r="22" spans="1:48" s="130" customFormat="1" x14ac:dyDescent="0.55000000000000004">
      <c r="A22" s="153">
        <v>1219</v>
      </c>
      <c r="B22" s="153">
        <v>19</v>
      </c>
      <c r="C22" s="154" t="s">
        <v>140</v>
      </c>
      <c r="D22" s="155" t="s">
        <v>33</v>
      </c>
      <c r="E22" s="128">
        <v>1</v>
      </c>
      <c r="F22" s="127" t="str">
        <f t="shared" si="0"/>
        <v>مرد</v>
      </c>
      <c r="G22" s="127" t="s">
        <v>31</v>
      </c>
      <c r="H22" s="127">
        <v>339</v>
      </c>
      <c r="I22" s="127" t="s">
        <v>59</v>
      </c>
      <c r="J22" s="127" t="s">
        <v>141</v>
      </c>
      <c r="K22" s="129">
        <v>27262252</v>
      </c>
      <c r="L22" s="129" t="s">
        <v>247</v>
      </c>
      <c r="M22" s="129">
        <v>4322396178</v>
      </c>
      <c r="N22" s="127">
        <v>2</v>
      </c>
      <c r="O22" s="127" t="str">
        <f t="shared" si="1"/>
        <v>متاهل</v>
      </c>
      <c r="P22" s="142">
        <v>2</v>
      </c>
      <c r="Q22" s="143">
        <v>4</v>
      </c>
      <c r="R22" s="143">
        <v>1402977</v>
      </c>
      <c r="S22" s="143">
        <v>70600</v>
      </c>
      <c r="T22" s="143">
        <f t="shared" si="2"/>
        <v>49101</v>
      </c>
      <c r="U22" s="143">
        <v>1522678</v>
      </c>
      <c r="V22" s="143">
        <f t="shared" si="3"/>
        <v>45680340</v>
      </c>
      <c r="W22" s="143">
        <v>5500000</v>
      </c>
      <c r="X22" s="143">
        <f t="shared" si="4"/>
        <v>8359500</v>
      </c>
      <c r="Y22" s="143">
        <v>8500000</v>
      </c>
      <c r="Z22" s="143">
        <f t="shared" si="5"/>
        <v>22359500</v>
      </c>
      <c r="AA22" s="143">
        <f t="shared" si="6"/>
        <v>68039840</v>
      </c>
      <c r="AB22" s="147">
        <v>2</v>
      </c>
      <c r="AC22" s="147" t="s">
        <v>227</v>
      </c>
      <c r="AD22" s="147" t="s">
        <v>228</v>
      </c>
      <c r="AE22" s="147" t="s">
        <v>229</v>
      </c>
      <c r="AF22" s="147" t="s">
        <v>74</v>
      </c>
      <c r="AG22" s="148" t="s">
        <v>230</v>
      </c>
      <c r="AH22" s="149">
        <v>4</v>
      </c>
      <c r="AI22" s="149" t="s">
        <v>142</v>
      </c>
      <c r="AJ22" s="149" t="s">
        <v>330</v>
      </c>
      <c r="AK22" s="149"/>
      <c r="AL22" s="149">
        <v>1781198</v>
      </c>
      <c r="AM22" s="149">
        <v>70600</v>
      </c>
      <c r="AN22" s="149">
        <v>144838.37999999989</v>
      </c>
      <c r="AO22" s="149">
        <f t="shared" si="7"/>
        <v>1996636.38</v>
      </c>
      <c r="AP22" s="149">
        <f t="shared" si="8"/>
        <v>59899091.399999999</v>
      </c>
      <c r="AQ22" s="149">
        <v>9000000</v>
      </c>
      <c r="AR22" s="149">
        <f t="shared" si="12"/>
        <v>10616568</v>
      </c>
      <c r="AS22" s="149">
        <v>11000000</v>
      </c>
      <c r="AT22" s="149">
        <f t="shared" si="9"/>
        <v>30616568</v>
      </c>
      <c r="AU22" s="149">
        <f t="shared" si="10"/>
        <v>90515659.400000006</v>
      </c>
      <c r="AV22" s="75"/>
    </row>
    <row r="23" spans="1:48" s="130" customFormat="1" x14ac:dyDescent="0.55000000000000004">
      <c r="A23" s="153">
        <v>1220</v>
      </c>
      <c r="B23" s="153">
        <v>20</v>
      </c>
      <c r="C23" s="154" t="s">
        <v>143</v>
      </c>
      <c r="D23" s="155" t="s">
        <v>144</v>
      </c>
      <c r="E23" s="128">
        <v>1</v>
      </c>
      <c r="F23" s="127" t="str">
        <f t="shared" si="0"/>
        <v>مرد</v>
      </c>
      <c r="G23" s="127" t="s">
        <v>145</v>
      </c>
      <c r="H23" s="127">
        <v>450</v>
      </c>
      <c r="I23" s="127" t="s">
        <v>59</v>
      </c>
      <c r="J23" s="127" t="s">
        <v>146</v>
      </c>
      <c r="K23" s="129">
        <v>27216818</v>
      </c>
      <c r="L23" s="129" t="s">
        <v>270</v>
      </c>
      <c r="M23" s="129">
        <v>5809545963</v>
      </c>
      <c r="N23" s="127">
        <v>2</v>
      </c>
      <c r="O23" s="127" t="str">
        <f t="shared" si="1"/>
        <v>متاهل</v>
      </c>
      <c r="P23" s="142">
        <v>2</v>
      </c>
      <c r="Q23" s="143">
        <v>7</v>
      </c>
      <c r="R23" s="143">
        <v>1414869</v>
      </c>
      <c r="S23" s="143">
        <v>71200</v>
      </c>
      <c r="T23" s="143">
        <f t="shared" si="2"/>
        <v>168139</v>
      </c>
      <c r="U23" s="143">
        <v>1654208</v>
      </c>
      <c r="V23" s="143">
        <f t="shared" si="3"/>
        <v>49626240</v>
      </c>
      <c r="W23" s="143">
        <v>5500000</v>
      </c>
      <c r="X23" s="143">
        <f t="shared" si="4"/>
        <v>8359500</v>
      </c>
      <c r="Y23" s="143">
        <v>8500000</v>
      </c>
      <c r="Z23" s="143">
        <f t="shared" si="5"/>
        <v>22359500</v>
      </c>
      <c r="AA23" s="143">
        <f t="shared" si="6"/>
        <v>71985740</v>
      </c>
      <c r="AB23" s="147">
        <v>2</v>
      </c>
      <c r="AC23" s="147" t="s">
        <v>227</v>
      </c>
      <c r="AD23" s="147" t="s">
        <v>189</v>
      </c>
      <c r="AE23" s="147" t="s">
        <v>229</v>
      </c>
      <c r="AF23" s="147" t="s">
        <v>91</v>
      </c>
      <c r="AG23" s="148" t="s">
        <v>269</v>
      </c>
      <c r="AH23" s="149">
        <v>7</v>
      </c>
      <c r="AI23" s="149" t="s">
        <v>75</v>
      </c>
      <c r="AJ23" s="149" t="s">
        <v>330</v>
      </c>
      <c r="AK23" s="149"/>
      <c r="AL23" s="149">
        <v>1795587</v>
      </c>
      <c r="AM23" s="149">
        <v>71200</v>
      </c>
      <c r="AN23" s="149">
        <v>289600.6799999997</v>
      </c>
      <c r="AO23" s="149">
        <f t="shared" si="7"/>
        <v>2156387.6799999997</v>
      </c>
      <c r="AP23" s="149">
        <f t="shared" si="8"/>
        <v>64691630.399999991</v>
      </c>
      <c r="AQ23" s="149">
        <v>9000000</v>
      </c>
      <c r="AR23" s="149">
        <f t="shared" si="12"/>
        <v>10616568</v>
      </c>
      <c r="AS23" s="149">
        <v>11000000</v>
      </c>
      <c r="AT23" s="149">
        <f t="shared" si="9"/>
        <v>30616568</v>
      </c>
      <c r="AU23" s="149">
        <f t="shared" si="10"/>
        <v>95308198.399999991</v>
      </c>
      <c r="AV23" s="75"/>
    </row>
    <row r="24" spans="1:48" s="130" customFormat="1" x14ac:dyDescent="0.55000000000000004">
      <c r="A24" s="153">
        <v>1221</v>
      </c>
      <c r="B24" s="153">
        <v>21</v>
      </c>
      <c r="C24" s="154" t="s">
        <v>64</v>
      </c>
      <c r="D24" s="155" t="s">
        <v>147</v>
      </c>
      <c r="E24" s="128">
        <v>1</v>
      </c>
      <c r="F24" s="127" t="str">
        <f t="shared" si="0"/>
        <v>مرد</v>
      </c>
      <c r="G24" s="127" t="s">
        <v>34</v>
      </c>
      <c r="H24" s="127">
        <v>11</v>
      </c>
      <c r="I24" s="127" t="s">
        <v>59</v>
      </c>
      <c r="J24" s="127" t="s">
        <v>148</v>
      </c>
      <c r="K24" s="129">
        <v>10260134</v>
      </c>
      <c r="L24" s="129">
        <v>4978485794</v>
      </c>
      <c r="M24" s="129">
        <v>5089974391</v>
      </c>
      <c r="N24" s="127">
        <v>2</v>
      </c>
      <c r="O24" s="127" t="str">
        <f t="shared" si="1"/>
        <v>متاهل</v>
      </c>
      <c r="P24" s="142">
        <v>1</v>
      </c>
      <c r="Q24" s="143">
        <v>6</v>
      </c>
      <c r="R24" s="143">
        <v>1395327</v>
      </c>
      <c r="S24" s="143"/>
      <c r="T24" s="143">
        <f t="shared" si="2"/>
        <v>0</v>
      </c>
      <c r="U24" s="143">
        <v>1395327</v>
      </c>
      <c r="V24" s="143">
        <f t="shared" si="3"/>
        <v>41859810</v>
      </c>
      <c r="W24" s="143">
        <v>5500000</v>
      </c>
      <c r="X24" s="143">
        <f t="shared" si="4"/>
        <v>4179750</v>
      </c>
      <c r="Y24" s="143">
        <v>8500000</v>
      </c>
      <c r="Z24" s="143">
        <f t="shared" si="5"/>
        <v>18179750</v>
      </c>
      <c r="AA24" s="143">
        <f t="shared" si="6"/>
        <v>60039560</v>
      </c>
      <c r="AB24" s="147">
        <v>1</v>
      </c>
      <c r="AC24" s="147" t="s">
        <v>227</v>
      </c>
      <c r="AD24" s="147" t="s">
        <v>254</v>
      </c>
      <c r="AE24" s="147" t="s">
        <v>229</v>
      </c>
      <c r="AF24" s="147" t="s">
        <v>149</v>
      </c>
      <c r="AG24" s="148" t="s">
        <v>253</v>
      </c>
      <c r="AH24" s="149">
        <v>6</v>
      </c>
      <c r="AI24" s="149" t="s">
        <v>76</v>
      </c>
      <c r="AJ24" s="149" t="s">
        <v>330</v>
      </c>
      <c r="AK24" s="149"/>
      <c r="AL24" s="149">
        <v>1790351</v>
      </c>
      <c r="AM24" s="149"/>
      <c r="AN24" s="149">
        <v>0</v>
      </c>
      <c r="AO24" s="149">
        <f t="shared" si="7"/>
        <v>1790351</v>
      </c>
      <c r="AP24" s="149">
        <f t="shared" si="8"/>
        <v>53710530</v>
      </c>
      <c r="AQ24" s="149">
        <v>9000000</v>
      </c>
      <c r="AR24" s="149">
        <f t="shared" si="12"/>
        <v>5308284</v>
      </c>
      <c r="AS24" s="149">
        <v>11000000</v>
      </c>
      <c r="AT24" s="149">
        <f t="shared" si="9"/>
        <v>25308284</v>
      </c>
      <c r="AU24" s="149">
        <f t="shared" si="10"/>
        <v>79018814</v>
      </c>
      <c r="AV24" s="75"/>
    </row>
    <row r="25" spans="1:48" s="130" customFormat="1" x14ac:dyDescent="0.55000000000000004">
      <c r="A25" s="153">
        <v>1222</v>
      </c>
      <c r="B25" s="153">
        <v>22</v>
      </c>
      <c r="C25" s="154" t="s">
        <v>62</v>
      </c>
      <c r="D25" s="155" t="s">
        <v>150</v>
      </c>
      <c r="E25" s="128">
        <v>1</v>
      </c>
      <c r="F25" s="127" t="str">
        <f t="shared" si="0"/>
        <v>مرد</v>
      </c>
      <c r="G25" s="127" t="s">
        <v>151</v>
      </c>
      <c r="H25" s="129">
        <v>4310675360</v>
      </c>
      <c r="I25" s="127" t="s">
        <v>59</v>
      </c>
      <c r="J25" s="127" t="s">
        <v>152</v>
      </c>
      <c r="K25" s="129">
        <v>46751867</v>
      </c>
      <c r="L25" s="129" t="s">
        <v>255</v>
      </c>
      <c r="M25" s="129">
        <v>4310675360</v>
      </c>
      <c r="N25" s="127">
        <v>1</v>
      </c>
      <c r="O25" s="127" t="str">
        <f t="shared" si="1"/>
        <v>مجرد</v>
      </c>
      <c r="P25" s="142">
        <v>0</v>
      </c>
      <c r="Q25" s="143">
        <v>6</v>
      </c>
      <c r="R25" s="143">
        <v>1410542</v>
      </c>
      <c r="S25" s="143">
        <v>71000</v>
      </c>
      <c r="T25" s="143">
        <f t="shared" si="2"/>
        <v>24813</v>
      </c>
      <c r="U25" s="143">
        <v>1506355</v>
      </c>
      <c r="V25" s="143">
        <f t="shared" si="3"/>
        <v>45190650</v>
      </c>
      <c r="W25" s="143">
        <v>5500000</v>
      </c>
      <c r="X25" s="143">
        <f t="shared" si="4"/>
        <v>0</v>
      </c>
      <c r="Y25" s="143">
        <v>8500000</v>
      </c>
      <c r="Z25" s="143">
        <f t="shared" si="5"/>
        <v>14000000</v>
      </c>
      <c r="AA25" s="143">
        <f t="shared" si="6"/>
        <v>59190650</v>
      </c>
      <c r="AB25" s="147">
        <v>0</v>
      </c>
      <c r="AC25" s="147" t="s">
        <v>227</v>
      </c>
      <c r="AD25" s="147" t="s">
        <v>232</v>
      </c>
      <c r="AE25" s="147" t="s">
        <v>229</v>
      </c>
      <c r="AF25" s="147" t="s">
        <v>153</v>
      </c>
      <c r="AG25" s="148" t="s">
        <v>256</v>
      </c>
      <c r="AH25" s="149">
        <v>6</v>
      </c>
      <c r="AI25" s="149" t="s">
        <v>154</v>
      </c>
      <c r="AJ25" s="149" t="s">
        <v>330</v>
      </c>
      <c r="AK25" s="149"/>
      <c r="AL25" s="149">
        <v>1790351</v>
      </c>
      <c r="AM25" s="149">
        <v>71000</v>
      </c>
      <c r="AN25" s="149">
        <v>115934.55000000005</v>
      </c>
      <c r="AO25" s="149">
        <f t="shared" si="7"/>
        <v>1977285.55</v>
      </c>
      <c r="AP25" s="149">
        <f t="shared" si="8"/>
        <v>59318566.5</v>
      </c>
      <c r="AQ25" s="149">
        <v>9000000</v>
      </c>
      <c r="AR25" s="149">
        <f t="shared" si="12"/>
        <v>0</v>
      </c>
      <c r="AS25" s="149">
        <v>11000000</v>
      </c>
      <c r="AT25" s="149">
        <f t="shared" si="9"/>
        <v>20000000</v>
      </c>
      <c r="AU25" s="149">
        <f t="shared" si="10"/>
        <v>79318566.5</v>
      </c>
      <c r="AV25" s="75"/>
    </row>
    <row r="26" spans="1:48" s="130" customFormat="1" x14ac:dyDescent="0.55000000000000004">
      <c r="A26" s="153">
        <v>1223</v>
      </c>
      <c r="B26" s="153">
        <v>23</v>
      </c>
      <c r="C26" s="154" t="s">
        <v>157</v>
      </c>
      <c r="D26" s="155" t="s">
        <v>158</v>
      </c>
      <c r="E26" s="128">
        <v>1</v>
      </c>
      <c r="F26" s="127" t="str">
        <f t="shared" si="0"/>
        <v>مرد</v>
      </c>
      <c r="G26" s="127" t="s">
        <v>159</v>
      </c>
      <c r="H26" s="129">
        <v>4310196632</v>
      </c>
      <c r="I26" s="127" t="s">
        <v>59</v>
      </c>
      <c r="J26" s="127" t="s">
        <v>160</v>
      </c>
      <c r="K26" s="129">
        <v>27250695</v>
      </c>
      <c r="L26" s="129" t="s">
        <v>238</v>
      </c>
      <c r="M26" s="129">
        <v>4310196632</v>
      </c>
      <c r="N26" s="127">
        <v>2</v>
      </c>
      <c r="O26" s="127" t="str">
        <f t="shared" si="1"/>
        <v>متاهل</v>
      </c>
      <c r="P26" s="142">
        <v>2</v>
      </c>
      <c r="Q26" s="143">
        <v>2</v>
      </c>
      <c r="R26" s="143">
        <v>1396490</v>
      </c>
      <c r="S26" s="143">
        <v>70200</v>
      </c>
      <c r="T26" s="143">
        <f t="shared" si="2"/>
        <v>187518</v>
      </c>
      <c r="U26" s="143">
        <v>1654208</v>
      </c>
      <c r="V26" s="143">
        <f t="shared" si="3"/>
        <v>49626240</v>
      </c>
      <c r="W26" s="143">
        <v>5500000</v>
      </c>
      <c r="X26" s="143">
        <f t="shared" si="4"/>
        <v>8359500</v>
      </c>
      <c r="Y26" s="143">
        <v>8500000</v>
      </c>
      <c r="Z26" s="143">
        <f t="shared" si="5"/>
        <v>22359500</v>
      </c>
      <c r="AA26" s="143">
        <f t="shared" si="6"/>
        <v>71985740</v>
      </c>
      <c r="AB26" s="147">
        <v>2</v>
      </c>
      <c r="AC26" s="147" t="s">
        <v>239</v>
      </c>
      <c r="AD26" s="147" t="s">
        <v>234</v>
      </c>
      <c r="AE26" s="147" t="s">
        <v>229</v>
      </c>
      <c r="AF26" s="147" t="s">
        <v>74</v>
      </c>
      <c r="AG26" s="148" t="s">
        <v>230</v>
      </c>
      <c r="AH26" s="149">
        <v>2</v>
      </c>
      <c r="AI26" s="149" t="s">
        <v>75</v>
      </c>
      <c r="AJ26" s="149" t="s">
        <v>330</v>
      </c>
      <c r="AK26" s="149"/>
      <c r="AL26" s="149">
        <v>1773348</v>
      </c>
      <c r="AM26" s="149">
        <v>70200</v>
      </c>
      <c r="AN26" s="149">
        <v>311839.6799999997</v>
      </c>
      <c r="AO26" s="149">
        <f t="shared" si="7"/>
        <v>2155387.6799999997</v>
      </c>
      <c r="AP26" s="149">
        <f t="shared" si="8"/>
        <v>64661630.399999991</v>
      </c>
      <c r="AQ26" s="149">
        <v>9000000</v>
      </c>
      <c r="AR26" s="149">
        <f t="shared" si="12"/>
        <v>10616568</v>
      </c>
      <c r="AS26" s="149">
        <v>11000000</v>
      </c>
      <c r="AT26" s="149">
        <f t="shared" si="9"/>
        <v>30616568</v>
      </c>
      <c r="AU26" s="149">
        <f t="shared" si="10"/>
        <v>95278198.399999991</v>
      </c>
      <c r="AV26" s="75"/>
    </row>
    <row r="27" spans="1:48" s="130" customFormat="1" x14ac:dyDescent="0.55000000000000004">
      <c r="A27" s="153">
        <v>1224</v>
      </c>
      <c r="B27" s="153">
        <v>24</v>
      </c>
      <c r="C27" s="154" t="s">
        <v>161</v>
      </c>
      <c r="D27" s="155" t="s">
        <v>158</v>
      </c>
      <c r="E27" s="128">
        <v>1</v>
      </c>
      <c r="F27" s="127" t="str">
        <f t="shared" si="0"/>
        <v>مرد</v>
      </c>
      <c r="G27" s="127" t="s">
        <v>63</v>
      </c>
      <c r="H27" s="127">
        <v>481</v>
      </c>
      <c r="I27" s="127" t="s">
        <v>59</v>
      </c>
      <c r="J27" s="127" t="s">
        <v>162</v>
      </c>
      <c r="K27" s="129">
        <v>27145906</v>
      </c>
      <c r="L27" s="129" t="s">
        <v>240</v>
      </c>
      <c r="M27" s="129">
        <v>5089140170</v>
      </c>
      <c r="N27" s="127">
        <v>1</v>
      </c>
      <c r="O27" s="127" t="str">
        <f t="shared" si="1"/>
        <v>مجرد</v>
      </c>
      <c r="P27" s="142">
        <v>0</v>
      </c>
      <c r="Q27" s="143">
        <v>2</v>
      </c>
      <c r="R27" s="143">
        <v>1395327</v>
      </c>
      <c r="S27" s="143"/>
      <c r="T27" s="143">
        <f t="shared" si="2"/>
        <v>0</v>
      </c>
      <c r="U27" s="143">
        <v>1395327</v>
      </c>
      <c r="V27" s="143">
        <f t="shared" si="3"/>
        <v>41859810</v>
      </c>
      <c r="W27" s="143">
        <v>5500000</v>
      </c>
      <c r="X27" s="143">
        <f t="shared" si="4"/>
        <v>0</v>
      </c>
      <c r="Y27" s="143">
        <v>8500000</v>
      </c>
      <c r="Z27" s="143">
        <f t="shared" si="5"/>
        <v>14000000</v>
      </c>
      <c r="AA27" s="143">
        <f t="shared" si="6"/>
        <v>55859810</v>
      </c>
      <c r="AB27" s="147">
        <v>0</v>
      </c>
      <c r="AC27" s="147" t="s">
        <v>227</v>
      </c>
      <c r="AD27" s="147" t="s">
        <v>189</v>
      </c>
      <c r="AE27" s="147" t="s">
        <v>229</v>
      </c>
      <c r="AF27" s="147" t="s">
        <v>74</v>
      </c>
      <c r="AG27" s="148" t="s">
        <v>230</v>
      </c>
      <c r="AH27" s="149">
        <v>2</v>
      </c>
      <c r="AI27" s="149" t="s">
        <v>75</v>
      </c>
      <c r="AJ27" s="149" t="s">
        <v>330</v>
      </c>
      <c r="AK27" s="149"/>
      <c r="AL27" s="149">
        <v>1773348</v>
      </c>
      <c r="AM27" s="149">
        <v>70200</v>
      </c>
      <c r="AN27" s="149">
        <v>0</v>
      </c>
      <c r="AO27" s="149">
        <f t="shared" si="7"/>
        <v>1843548</v>
      </c>
      <c r="AP27" s="149">
        <f t="shared" si="8"/>
        <v>55306440</v>
      </c>
      <c r="AQ27" s="149">
        <v>9000000</v>
      </c>
      <c r="AR27" s="149">
        <f t="shared" si="12"/>
        <v>0</v>
      </c>
      <c r="AS27" s="149">
        <v>11000000</v>
      </c>
      <c r="AT27" s="149">
        <f t="shared" si="9"/>
        <v>20000000</v>
      </c>
      <c r="AU27" s="149">
        <f t="shared" si="10"/>
        <v>75306440</v>
      </c>
      <c r="AV27" s="75"/>
    </row>
    <row r="28" spans="1:48" s="130" customFormat="1" x14ac:dyDescent="0.55000000000000004">
      <c r="A28" s="153">
        <v>1225</v>
      </c>
      <c r="B28" s="153">
        <v>25</v>
      </c>
      <c r="C28" s="154" t="s">
        <v>163</v>
      </c>
      <c r="D28" s="155" t="s">
        <v>164</v>
      </c>
      <c r="E28" s="128">
        <v>1</v>
      </c>
      <c r="F28" s="127" t="str">
        <f t="shared" si="0"/>
        <v>مرد</v>
      </c>
      <c r="G28" s="127" t="s">
        <v>165</v>
      </c>
      <c r="H28" s="127">
        <v>229</v>
      </c>
      <c r="I28" s="127" t="s">
        <v>60</v>
      </c>
      <c r="J28" s="127" t="s">
        <v>166</v>
      </c>
      <c r="K28" s="129">
        <v>22076878</v>
      </c>
      <c r="L28" s="129" t="s">
        <v>241</v>
      </c>
      <c r="M28" s="129">
        <v>4283634077</v>
      </c>
      <c r="N28" s="127">
        <v>2</v>
      </c>
      <c r="O28" s="127" t="str">
        <f t="shared" si="1"/>
        <v>متاهل</v>
      </c>
      <c r="P28" s="142">
        <v>0</v>
      </c>
      <c r="Q28" s="143">
        <v>2</v>
      </c>
      <c r="R28" s="143">
        <v>1396490</v>
      </c>
      <c r="S28" s="143"/>
      <c r="T28" s="143">
        <f t="shared" si="2"/>
        <v>44085</v>
      </c>
      <c r="U28" s="143">
        <v>1440575</v>
      </c>
      <c r="V28" s="143">
        <f t="shared" si="3"/>
        <v>43217250</v>
      </c>
      <c r="W28" s="143">
        <v>5500000</v>
      </c>
      <c r="X28" s="143">
        <f t="shared" si="4"/>
        <v>0</v>
      </c>
      <c r="Y28" s="143">
        <v>8500000</v>
      </c>
      <c r="Z28" s="143">
        <f t="shared" si="5"/>
        <v>14000000</v>
      </c>
      <c r="AA28" s="143">
        <f t="shared" si="6"/>
        <v>57217250</v>
      </c>
      <c r="AB28" s="147">
        <v>0</v>
      </c>
      <c r="AC28" s="147" t="s">
        <v>227</v>
      </c>
      <c r="AD28" s="147" t="s">
        <v>228</v>
      </c>
      <c r="AE28" s="147" t="s">
        <v>229</v>
      </c>
      <c r="AF28" s="147" t="s">
        <v>74</v>
      </c>
      <c r="AG28" s="148" t="s">
        <v>230</v>
      </c>
      <c r="AH28" s="149">
        <v>2</v>
      </c>
      <c r="AI28" s="149" t="s">
        <v>109</v>
      </c>
      <c r="AJ28" s="149" t="s">
        <v>330</v>
      </c>
      <c r="AK28" s="149"/>
      <c r="AL28" s="149">
        <v>1773348</v>
      </c>
      <c r="AM28" s="149">
        <v>70200</v>
      </c>
      <c r="AN28" s="149">
        <v>53343.75</v>
      </c>
      <c r="AO28" s="149">
        <f t="shared" si="7"/>
        <v>1896891.75</v>
      </c>
      <c r="AP28" s="149">
        <f t="shared" si="8"/>
        <v>56906752.5</v>
      </c>
      <c r="AQ28" s="149">
        <v>9000000</v>
      </c>
      <c r="AR28" s="149">
        <f t="shared" ref="AR28:AR30" si="22">AB28*5308284</f>
        <v>0</v>
      </c>
      <c r="AS28" s="149">
        <v>11000000</v>
      </c>
      <c r="AT28" s="149">
        <f t="shared" si="9"/>
        <v>20000000</v>
      </c>
      <c r="AU28" s="149">
        <f t="shared" si="10"/>
        <v>76906752.5</v>
      </c>
      <c r="AV28" s="75"/>
    </row>
    <row r="29" spans="1:48" s="130" customFormat="1" x14ac:dyDescent="0.55000000000000004">
      <c r="A29" s="153">
        <v>1226</v>
      </c>
      <c r="B29" s="153">
        <v>26</v>
      </c>
      <c r="C29" s="154" t="s">
        <v>167</v>
      </c>
      <c r="D29" s="155" t="s">
        <v>168</v>
      </c>
      <c r="E29" s="128">
        <v>1</v>
      </c>
      <c r="F29" s="127" t="str">
        <f t="shared" si="0"/>
        <v>مرد</v>
      </c>
      <c r="G29" s="127" t="s">
        <v>169</v>
      </c>
      <c r="H29" s="127">
        <v>1289</v>
      </c>
      <c r="I29" s="127" t="s">
        <v>59</v>
      </c>
      <c r="J29" s="127" t="s">
        <v>170</v>
      </c>
      <c r="K29" s="129">
        <v>26928581</v>
      </c>
      <c r="L29" s="129" t="s">
        <v>242</v>
      </c>
      <c r="M29" s="129">
        <v>5089127565</v>
      </c>
      <c r="N29" s="127">
        <v>2</v>
      </c>
      <c r="O29" s="127" t="str">
        <f t="shared" si="1"/>
        <v>متاهل</v>
      </c>
      <c r="P29" s="142">
        <v>2</v>
      </c>
      <c r="Q29" s="143">
        <v>2</v>
      </c>
      <c r="R29" s="143">
        <v>1395327</v>
      </c>
      <c r="S29" s="143"/>
      <c r="T29" s="143">
        <f t="shared" si="2"/>
        <v>0</v>
      </c>
      <c r="U29" s="143">
        <v>1395327</v>
      </c>
      <c r="V29" s="143">
        <f t="shared" si="3"/>
        <v>41859810</v>
      </c>
      <c r="W29" s="143">
        <v>5500000</v>
      </c>
      <c r="X29" s="143">
        <f t="shared" si="4"/>
        <v>8359500</v>
      </c>
      <c r="Y29" s="143">
        <v>8500000</v>
      </c>
      <c r="Z29" s="143">
        <f t="shared" si="5"/>
        <v>22359500</v>
      </c>
      <c r="AA29" s="143">
        <f t="shared" si="6"/>
        <v>64219310</v>
      </c>
      <c r="AB29" s="147">
        <v>2</v>
      </c>
      <c r="AC29" s="147" t="s">
        <v>227</v>
      </c>
      <c r="AD29" s="147" t="s">
        <v>228</v>
      </c>
      <c r="AE29" s="147" t="s">
        <v>229</v>
      </c>
      <c r="AF29" s="147" t="s">
        <v>74</v>
      </c>
      <c r="AG29" s="148" t="s">
        <v>230</v>
      </c>
      <c r="AH29" s="149">
        <v>2</v>
      </c>
      <c r="AI29" s="149" t="s">
        <v>75</v>
      </c>
      <c r="AJ29" s="149" t="s">
        <v>330</v>
      </c>
      <c r="AK29" s="149"/>
      <c r="AL29" s="149">
        <v>1773348</v>
      </c>
      <c r="AM29" s="149">
        <v>70200</v>
      </c>
      <c r="AN29" s="149">
        <v>0</v>
      </c>
      <c r="AO29" s="149">
        <f t="shared" si="7"/>
        <v>1843548</v>
      </c>
      <c r="AP29" s="149">
        <f t="shared" si="8"/>
        <v>55306440</v>
      </c>
      <c r="AQ29" s="149">
        <v>9000000</v>
      </c>
      <c r="AR29" s="149">
        <f t="shared" si="22"/>
        <v>10616568</v>
      </c>
      <c r="AS29" s="149">
        <v>11000000</v>
      </c>
      <c r="AT29" s="149">
        <f t="shared" si="9"/>
        <v>30616568</v>
      </c>
      <c r="AU29" s="149">
        <f t="shared" si="10"/>
        <v>85923008</v>
      </c>
      <c r="AV29" s="75"/>
    </row>
    <row r="30" spans="1:48" s="130" customFormat="1" x14ac:dyDescent="0.55000000000000004">
      <c r="A30" s="153">
        <v>1227</v>
      </c>
      <c r="B30" s="153">
        <v>27</v>
      </c>
      <c r="C30" s="154" t="s">
        <v>34</v>
      </c>
      <c r="D30" s="155" t="s">
        <v>344</v>
      </c>
      <c r="E30" s="128">
        <v>1</v>
      </c>
      <c r="F30" s="127" t="str">
        <f t="shared" si="0"/>
        <v>مرد</v>
      </c>
      <c r="G30" s="127" t="s">
        <v>155</v>
      </c>
      <c r="H30" s="127">
        <v>6</v>
      </c>
      <c r="I30" s="127" t="s">
        <v>59</v>
      </c>
      <c r="J30" s="127" t="s">
        <v>156</v>
      </c>
      <c r="K30" s="129">
        <v>20074452</v>
      </c>
      <c r="L30" s="129" t="s">
        <v>243</v>
      </c>
      <c r="M30" s="129">
        <v>5809932886</v>
      </c>
      <c r="N30" s="127">
        <v>2</v>
      </c>
      <c r="O30" s="127" t="str">
        <f t="shared" si="1"/>
        <v>متاهل</v>
      </c>
      <c r="P30" s="142">
        <v>0</v>
      </c>
      <c r="Q30" s="143">
        <v>2</v>
      </c>
      <c r="R30" s="143">
        <v>1395327</v>
      </c>
      <c r="S30" s="143"/>
      <c r="T30" s="143">
        <f t="shared" si="2"/>
        <v>0</v>
      </c>
      <c r="U30" s="143">
        <v>1395327</v>
      </c>
      <c r="V30" s="143">
        <f t="shared" si="3"/>
        <v>41859810</v>
      </c>
      <c r="W30" s="143">
        <v>5500000</v>
      </c>
      <c r="X30" s="143">
        <f t="shared" si="4"/>
        <v>0</v>
      </c>
      <c r="Y30" s="143">
        <v>8500000</v>
      </c>
      <c r="Z30" s="143">
        <f t="shared" si="5"/>
        <v>14000000</v>
      </c>
      <c r="AA30" s="143">
        <f t="shared" si="6"/>
        <v>55859810</v>
      </c>
      <c r="AB30" s="147">
        <v>0</v>
      </c>
      <c r="AC30" s="147" t="s">
        <v>227</v>
      </c>
      <c r="AD30" s="147" t="s">
        <v>228</v>
      </c>
      <c r="AE30" s="147" t="s">
        <v>229</v>
      </c>
      <c r="AF30" s="147" t="s">
        <v>74</v>
      </c>
      <c r="AG30" s="148" t="s">
        <v>230</v>
      </c>
      <c r="AH30" s="149">
        <v>2</v>
      </c>
      <c r="AI30" s="149" t="s">
        <v>75</v>
      </c>
      <c r="AJ30" s="149" t="s">
        <v>330</v>
      </c>
      <c r="AK30" s="149"/>
      <c r="AL30" s="149">
        <v>1773348</v>
      </c>
      <c r="AM30" s="149">
        <v>70200</v>
      </c>
      <c r="AN30" s="149">
        <v>0</v>
      </c>
      <c r="AO30" s="149">
        <f t="shared" si="7"/>
        <v>1843548</v>
      </c>
      <c r="AP30" s="149">
        <f t="shared" si="8"/>
        <v>55306440</v>
      </c>
      <c r="AQ30" s="149">
        <v>9000000</v>
      </c>
      <c r="AR30" s="149">
        <f t="shared" si="22"/>
        <v>0</v>
      </c>
      <c r="AS30" s="149">
        <v>11000000</v>
      </c>
      <c r="AT30" s="149">
        <f t="shared" si="9"/>
        <v>20000000</v>
      </c>
      <c r="AU30" s="149">
        <f t="shared" si="10"/>
        <v>75306440</v>
      </c>
      <c r="AV30" s="75"/>
    </row>
    <row r="31" spans="1:48" s="130" customFormat="1" x14ac:dyDescent="0.55000000000000004">
      <c r="A31" s="153">
        <v>1228</v>
      </c>
      <c r="B31" s="153">
        <v>28</v>
      </c>
      <c r="C31" s="154" t="s">
        <v>175</v>
      </c>
      <c r="D31" s="155" t="s">
        <v>176</v>
      </c>
      <c r="E31" s="128">
        <v>1</v>
      </c>
      <c r="F31" s="127" t="str">
        <f t="shared" si="0"/>
        <v>مرد</v>
      </c>
      <c r="G31" s="127" t="s">
        <v>177</v>
      </c>
      <c r="H31" s="127">
        <v>364</v>
      </c>
      <c r="I31" s="127" t="s">
        <v>66</v>
      </c>
      <c r="J31" s="127" t="s">
        <v>178</v>
      </c>
      <c r="K31" s="129">
        <v>31525877</v>
      </c>
      <c r="L31" s="129" t="s">
        <v>244</v>
      </c>
      <c r="M31" s="129">
        <v>2721530070</v>
      </c>
      <c r="N31" s="127">
        <v>2</v>
      </c>
      <c r="O31" s="127" t="str">
        <f t="shared" si="1"/>
        <v>متاهل</v>
      </c>
      <c r="P31" s="142">
        <v>3</v>
      </c>
      <c r="Q31" s="143">
        <v>2</v>
      </c>
      <c r="R31" s="143">
        <v>1395330</v>
      </c>
      <c r="S31" s="143"/>
      <c r="T31" s="143">
        <f t="shared" si="2"/>
        <v>0</v>
      </c>
      <c r="U31" s="143">
        <v>1395330</v>
      </c>
      <c r="V31" s="143">
        <f t="shared" si="3"/>
        <v>41859900</v>
      </c>
      <c r="W31" s="143">
        <v>5500000</v>
      </c>
      <c r="X31" s="143">
        <f t="shared" si="4"/>
        <v>12539250</v>
      </c>
      <c r="Y31" s="143">
        <v>8500000</v>
      </c>
      <c r="Z31" s="143">
        <f t="shared" si="5"/>
        <v>26539250</v>
      </c>
      <c r="AA31" s="143">
        <f t="shared" si="6"/>
        <v>68399150</v>
      </c>
      <c r="AB31" s="147">
        <v>3</v>
      </c>
      <c r="AC31" s="147" t="s">
        <v>239</v>
      </c>
      <c r="AD31" s="147" t="s">
        <v>189</v>
      </c>
      <c r="AE31" s="147" t="s">
        <v>229</v>
      </c>
      <c r="AF31" s="147" t="s">
        <v>74</v>
      </c>
      <c r="AG31" s="148" t="s">
        <v>230</v>
      </c>
      <c r="AH31" s="149">
        <v>2</v>
      </c>
      <c r="AI31" s="149" t="s">
        <v>173</v>
      </c>
      <c r="AJ31" s="149" t="s">
        <v>330</v>
      </c>
      <c r="AK31" s="149"/>
      <c r="AL31" s="149">
        <v>1773348</v>
      </c>
      <c r="AM31" s="149"/>
      <c r="AN31" s="149">
        <v>0</v>
      </c>
      <c r="AO31" s="149">
        <f t="shared" si="7"/>
        <v>1773348</v>
      </c>
      <c r="AP31" s="149">
        <f t="shared" si="8"/>
        <v>53200440</v>
      </c>
      <c r="AQ31" s="149">
        <v>9000000</v>
      </c>
      <c r="AR31" s="149">
        <f t="shared" ref="AR31:AR37" si="23">AB31*5308284</f>
        <v>15924852</v>
      </c>
      <c r="AS31" s="149">
        <v>11000000</v>
      </c>
      <c r="AT31" s="149">
        <f t="shared" si="9"/>
        <v>35924852</v>
      </c>
      <c r="AU31" s="149">
        <f t="shared" si="10"/>
        <v>89125292</v>
      </c>
      <c r="AV31" s="75"/>
    </row>
    <row r="32" spans="1:48" s="130" customFormat="1" x14ac:dyDescent="0.55000000000000004">
      <c r="A32" s="153">
        <v>1209</v>
      </c>
      <c r="B32" s="153">
        <v>29</v>
      </c>
      <c r="C32" s="154" t="s">
        <v>62</v>
      </c>
      <c r="D32" s="155" t="s">
        <v>185</v>
      </c>
      <c r="E32" s="128"/>
      <c r="F32" s="127"/>
      <c r="G32" s="127"/>
      <c r="H32" s="127"/>
      <c r="I32" s="127"/>
      <c r="J32" s="127"/>
      <c r="K32" s="129"/>
      <c r="L32" s="129"/>
      <c r="M32" s="129"/>
      <c r="N32" s="127"/>
      <c r="O32" s="127"/>
      <c r="P32" s="142">
        <v>0</v>
      </c>
      <c r="Q32" s="143">
        <v>13</v>
      </c>
      <c r="R32" s="143">
        <v>1449476</v>
      </c>
      <c r="S32" s="143"/>
      <c r="T32" s="143"/>
      <c r="U32" s="143">
        <v>1449476</v>
      </c>
      <c r="V32" s="143">
        <f>U32*30</f>
        <v>43484280</v>
      </c>
      <c r="W32" s="143">
        <v>5500000</v>
      </c>
      <c r="X32" s="143">
        <f>P32*4179750</f>
        <v>0</v>
      </c>
      <c r="Y32" s="143">
        <v>8500000</v>
      </c>
      <c r="Z32" s="143">
        <f>SUM(W32:Y32)</f>
        <v>14000000</v>
      </c>
      <c r="AA32" s="143">
        <f>Z32+V32</f>
        <v>57484280</v>
      </c>
      <c r="AB32" s="147">
        <v>0</v>
      </c>
      <c r="AC32" s="147"/>
      <c r="AD32" s="147"/>
      <c r="AE32" s="147"/>
      <c r="AF32" s="147"/>
      <c r="AG32" s="148"/>
      <c r="AH32" s="149">
        <v>13</v>
      </c>
      <c r="AI32" s="149"/>
      <c r="AJ32" s="149"/>
      <c r="AK32" s="149"/>
      <c r="AL32" s="149">
        <v>1837461</v>
      </c>
      <c r="AM32" s="149"/>
      <c r="AN32" s="149">
        <v>0</v>
      </c>
      <c r="AO32" s="149">
        <v>1837461</v>
      </c>
      <c r="AP32" s="149">
        <v>55123830</v>
      </c>
      <c r="AQ32" s="149">
        <v>9000000</v>
      </c>
      <c r="AR32" s="149">
        <v>0</v>
      </c>
      <c r="AS32" s="149">
        <v>11000000</v>
      </c>
      <c r="AT32" s="149">
        <v>20000000</v>
      </c>
      <c r="AU32" s="149">
        <v>75123830</v>
      </c>
      <c r="AV32" s="75"/>
    </row>
    <row r="33" spans="1:55" s="130" customFormat="1" x14ac:dyDescent="0.55000000000000004">
      <c r="A33" s="153">
        <v>1164</v>
      </c>
      <c r="B33" s="153">
        <v>30</v>
      </c>
      <c r="C33" s="154" t="s">
        <v>34</v>
      </c>
      <c r="D33" s="155" t="s">
        <v>343</v>
      </c>
      <c r="E33" s="128"/>
      <c r="F33" s="127"/>
      <c r="G33" s="127"/>
      <c r="H33" s="127"/>
      <c r="I33" s="127"/>
      <c r="J33" s="127"/>
      <c r="K33" s="129"/>
      <c r="L33" s="129"/>
      <c r="M33" s="129"/>
      <c r="N33" s="127"/>
      <c r="O33" s="127"/>
      <c r="P33" s="142">
        <v>2</v>
      </c>
      <c r="Q33" s="143">
        <v>4</v>
      </c>
      <c r="R33" s="143">
        <v>1402977</v>
      </c>
      <c r="S33" s="143">
        <v>70600</v>
      </c>
      <c r="T33" s="143">
        <f>U33-R33-S33</f>
        <v>49101</v>
      </c>
      <c r="U33" s="143">
        <v>1522678</v>
      </c>
      <c r="V33" s="143">
        <f>U33*30</f>
        <v>45680340</v>
      </c>
      <c r="W33" s="143">
        <v>5500000</v>
      </c>
      <c r="X33" s="143">
        <f>P33*4179750</f>
        <v>8359500</v>
      </c>
      <c r="Y33" s="143">
        <v>8500000</v>
      </c>
      <c r="Z33" s="143">
        <f>SUM(W33:Y33)</f>
        <v>22359500</v>
      </c>
      <c r="AA33" s="143">
        <f>Z33+V33</f>
        <v>68039840</v>
      </c>
      <c r="AB33" s="147"/>
      <c r="AC33" s="147"/>
      <c r="AD33" s="147"/>
      <c r="AE33" s="147"/>
      <c r="AF33" s="147"/>
      <c r="AG33" s="148"/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75"/>
    </row>
    <row r="34" spans="1:55" s="130" customFormat="1" x14ac:dyDescent="0.55000000000000004">
      <c r="A34" s="153">
        <v>1169</v>
      </c>
      <c r="B34" s="153">
        <v>31</v>
      </c>
      <c r="C34" s="154" t="s">
        <v>174</v>
      </c>
      <c r="D34" s="155" t="s">
        <v>345</v>
      </c>
      <c r="E34" s="128"/>
      <c r="F34" s="127"/>
      <c r="G34" s="127"/>
      <c r="H34" s="127"/>
      <c r="I34" s="127"/>
      <c r="J34" s="127"/>
      <c r="K34" s="129"/>
      <c r="L34" s="129"/>
      <c r="M34" s="129"/>
      <c r="N34" s="127"/>
      <c r="O34" s="127"/>
      <c r="P34" s="142">
        <v>0</v>
      </c>
      <c r="Q34" s="143">
        <v>6</v>
      </c>
      <c r="R34" s="143">
        <v>1410542</v>
      </c>
      <c r="S34" s="143">
        <v>71000</v>
      </c>
      <c r="T34" s="143">
        <f>U34-R34-S34</f>
        <v>345888</v>
      </c>
      <c r="U34" s="143">
        <v>1827430</v>
      </c>
      <c r="V34" s="143">
        <f>U34*30</f>
        <v>54822900</v>
      </c>
      <c r="W34" s="143">
        <v>5500000</v>
      </c>
      <c r="X34" s="143">
        <f>P34*4179750</f>
        <v>0</v>
      </c>
      <c r="Y34" s="143">
        <v>8500000</v>
      </c>
      <c r="Z34" s="143">
        <f>SUM(W34:Y34)</f>
        <v>14000000</v>
      </c>
      <c r="AA34" s="143">
        <f>Z34+V34</f>
        <v>68822900</v>
      </c>
      <c r="AB34" s="147"/>
      <c r="AC34" s="147"/>
      <c r="AD34" s="147"/>
      <c r="AE34" s="147"/>
      <c r="AF34" s="147"/>
      <c r="AG34" s="148"/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75"/>
    </row>
    <row r="35" spans="1:55" s="130" customFormat="1" x14ac:dyDescent="0.55000000000000004">
      <c r="A35" s="153">
        <v>1229</v>
      </c>
      <c r="B35" s="153"/>
      <c r="C35" s="154" t="s">
        <v>257</v>
      </c>
      <c r="D35" s="155" t="s">
        <v>258</v>
      </c>
      <c r="E35" s="128">
        <v>1</v>
      </c>
      <c r="F35" s="127" t="str">
        <f>IF(E35=1,"مرد","زن")</f>
        <v>مرد</v>
      </c>
      <c r="G35" s="127" t="s">
        <v>259</v>
      </c>
      <c r="H35" s="127">
        <v>26</v>
      </c>
      <c r="I35" s="127" t="s">
        <v>59</v>
      </c>
      <c r="J35" s="127" t="s">
        <v>260</v>
      </c>
      <c r="K35" s="129">
        <v>26573320</v>
      </c>
      <c r="L35" s="129">
        <v>2162030829</v>
      </c>
      <c r="M35" s="129">
        <v>4323763468</v>
      </c>
      <c r="N35" s="127">
        <v>2</v>
      </c>
      <c r="O35" s="127" t="str">
        <f>IF(N35=1,"مجرد","متاهل")</f>
        <v>متاهل</v>
      </c>
      <c r="P35" s="142"/>
      <c r="Q35" s="143"/>
      <c r="R35" s="143"/>
      <c r="S35" s="143"/>
      <c r="T35" s="143"/>
      <c r="U35" s="143"/>
      <c r="V35" s="143"/>
      <c r="W35" s="143"/>
      <c r="X35" s="143"/>
      <c r="Y35" s="143"/>
      <c r="Z35" s="143"/>
      <c r="AA35" s="143"/>
      <c r="AB35" s="147">
        <v>3</v>
      </c>
      <c r="AC35" s="147" t="s">
        <v>227</v>
      </c>
      <c r="AD35" s="147" t="s">
        <v>189</v>
      </c>
      <c r="AE35" s="147" t="s">
        <v>229</v>
      </c>
      <c r="AF35" s="147" t="s">
        <v>153</v>
      </c>
      <c r="AG35" s="148" t="s">
        <v>256</v>
      </c>
      <c r="AH35" s="149">
        <v>6</v>
      </c>
      <c r="AI35" s="149" t="s">
        <v>261</v>
      </c>
      <c r="AJ35" s="149" t="s">
        <v>330</v>
      </c>
      <c r="AK35" s="149"/>
      <c r="AL35" s="149">
        <v>1790351</v>
      </c>
      <c r="AM35" s="149">
        <v>71000</v>
      </c>
      <c r="AN35" s="149">
        <v>522215.04000000004</v>
      </c>
      <c r="AO35" s="149">
        <f>SUM(AL35:AN35)</f>
        <v>2383566.04</v>
      </c>
      <c r="AP35" s="149">
        <f>AO35*30</f>
        <v>71506981.200000003</v>
      </c>
      <c r="AQ35" s="149">
        <v>9000000</v>
      </c>
      <c r="AR35" s="149">
        <f>AB35*5308284</f>
        <v>15924852</v>
      </c>
      <c r="AS35" s="149">
        <v>11000000</v>
      </c>
      <c r="AT35" s="149">
        <f>SUM(AQ35:AS35)</f>
        <v>35924852</v>
      </c>
      <c r="AU35" s="149">
        <f>AT35+AP35</f>
        <v>107431833.2</v>
      </c>
      <c r="AV35" s="75"/>
    </row>
    <row r="36" spans="1:55" s="130" customFormat="1" x14ac:dyDescent="0.55000000000000004">
      <c r="A36" s="153">
        <v>1230</v>
      </c>
      <c r="B36" s="153"/>
      <c r="C36" s="154" t="s">
        <v>140</v>
      </c>
      <c r="D36" s="155" t="s">
        <v>262</v>
      </c>
      <c r="E36" s="128">
        <v>1</v>
      </c>
      <c r="F36" s="127" t="str">
        <f>IF(E36=1,"مرد","زن")</f>
        <v>مرد</v>
      </c>
      <c r="G36" s="127" t="s">
        <v>194</v>
      </c>
      <c r="H36" s="129">
        <v>5080139544</v>
      </c>
      <c r="I36" s="127" t="s">
        <v>107</v>
      </c>
      <c r="J36" s="127" t="s">
        <v>263</v>
      </c>
      <c r="K36" s="129">
        <v>46377853</v>
      </c>
      <c r="L36" s="129">
        <v>8857290986</v>
      </c>
      <c r="M36" s="129">
        <v>5080139544</v>
      </c>
      <c r="N36" s="127">
        <v>1</v>
      </c>
      <c r="O36" s="127" t="str">
        <f>IF(N36=1,"مجرد","متاهل")</f>
        <v>مجرد</v>
      </c>
      <c r="P36" s="142"/>
      <c r="Q36" s="143"/>
      <c r="R36" s="143"/>
      <c r="S36" s="143"/>
      <c r="T36" s="143"/>
      <c r="U36" s="143"/>
      <c r="V36" s="143"/>
      <c r="W36" s="143"/>
      <c r="X36" s="143"/>
      <c r="Y36" s="143"/>
      <c r="Z36" s="143"/>
      <c r="AA36" s="143"/>
      <c r="AB36" s="147">
        <v>0</v>
      </c>
      <c r="AC36" s="147" t="s">
        <v>239</v>
      </c>
      <c r="AD36" s="147" t="s">
        <v>254</v>
      </c>
      <c r="AE36" s="147" t="s">
        <v>229</v>
      </c>
      <c r="AF36" s="147" t="s">
        <v>153</v>
      </c>
      <c r="AG36" s="148" t="s">
        <v>256</v>
      </c>
      <c r="AH36" s="149">
        <v>6</v>
      </c>
      <c r="AI36" s="149" t="s">
        <v>264</v>
      </c>
      <c r="AJ36" s="149" t="s">
        <v>330</v>
      </c>
      <c r="AK36" s="149"/>
      <c r="AL36" s="149">
        <v>1790351</v>
      </c>
      <c r="AM36" s="149"/>
      <c r="AN36" s="149">
        <v>0</v>
      </c>
      <c r="AO36" s="149">
        <f>SUM(AL36:AN36)</f>
        <v>1790351</v>
      </c>
      <c r="AP36" s="149">
        <f>AO36*30</f>
        <v>53710530</v>
      </c>
      <c r="AQ36" s="149">
        <v>9000000</v>
      </c>
      <c r="AR36" s="149">
        <f t="shared" si="23"/>
        <v>0</v>
      </c>
      <c r="AS36" s="149">
        <v>11000000</v>
      </c>
      <c r="AT36" s="149">
        <f>SUM(AQ36:AS36)</f>
        <v>20000000</v>
      </c>
      <c r="AU36" s="149">
        <f>AT36+AP36</f>
        <v>73710530</v>
      </c>
      <c r="AV36" s="75"/>
    </row>
    <row r="37" spans="1:55" s="130" customFormat="1" x14ac:dyDescent="0.55000000000000004">
      <c r="A37" s="153">
        <v>1231</v>
      </c>
      <c r="B37" s="153"/>
      <c r="C37" s="154" t="s">
        <v>118</v>
      </c>
      <c r="D37" s="155" t="s">
        <v>265</v>
      </c>
      <c r="E37" s="128">
        <v>1</v>
      </c>
      <c r="F37" s="127" t="str">
        <f>IF(E37=1,"مرد","زن")</f>
        <v>مرد</v>
      </c>
      <c r="G37" s="127" t="s">
        <v>186</v>
      </c>
      <c r="H37" s="129">
        <v>6150012484</v>
      </c>
      <c r="I37" s="127" t="s">
        <v>266</v>
      </c>
      <c r="J37" s="127" t="s">
        <v>267</v>
      </c>
      <c r="K37" s="129">
        <v>65650706</v>
      </c>
      <c r="L37" s="129">
        <v>8026759714</v>
      </c>
      <c r="M37" s="129">
        <v>6150012484</v>
      </c>
      <c r="N37" s="127">
        <v>2</v>
      </c>
      <c r="O37" s="127" t="str">
        <f>IF(N37=1,"مجرد","متاهل")</f>
        <v>متاهل</v>
      </c>
      <c r="P37" s="142"/>
      <c r="Q37" s="143"/>
      <c r="R37" s="143"/>
      <c r="S37" s="143"/>
      <c r="T37" s="143"/>
      <c r="U37" s="143"/>
      <c r="V37" s="143"/>
      <c r="W37" s="143"/>
      <c r="X37" s="143"/>
      <c r="Y37" s="143"/>
      <c r="Z37" s="143"/>
      <c r="AA37" s="143"/>
      <c r="AB37" s="147">
        <v>0</v>
      </c>
      <c r="AC37" s="147" t="s">
        <v>227</v>
      </c>
      <c r="AD37" s="147" t="s">
        <v>228</v>
      </c>
      <c r="AE37" s="147" t="s">
        <v>229</v>
      </c>
      <c r="AF37" s="147" t="s">
        <v>153</v>
      </c>
      <c r="AG37" s="148" t="s">
        <v>256</v>
      </c>
      <c r="AH37" s="149">
        <v>6</v>
      </c>
      <c r="AI37" s="149" t="s">
        <v>264</v>
      </c>
      <c r="AJ37" s="149" t="s">
        <v>330</v>
      </c>
      <c r="AK37" s="149"/>
      <c r="AL37" s="149">
        <v>1790351</v>
      </c>
      <c r="AM37" s="149"/>
      <c r="AN37" s="149">
        <v>0</v>
      </c>
      <c r="AO37" s="149">
        <f>SUM(AL37:AN37)</f>
        <v>1790351</v>
      </c>
      <c r="AP37" s="149">
        <f>AO37*30</f>
        <v>53710530</v>
      </c>
      <c r="AQ37" s="149">
        <v>9000000</v>
      </c>
      <c r="AR37" s="149">
        <f t="shared" si="23"/>
        <v>0</v>
      </c>
      <c r="AS37" s="149">
        <v>11000000</v>
      </c>
      <c r="AT37" s="149">
        <f>SUM(AQ37:AS37)</f>
        <v>20000000</v>
      </c>
      <c r="AU37" s="149">
        <f>AT37+AP37</f>
        <v>73710530</v>
      </c>
      <c r="AV37" s="75"/>
      <c r="AW37" s="75"/>
      <c r="AX37" s="75"/>
    </row>
    <row r="38" spans="1:55" ht="24.75" customHeight="1" x14ac:dyDescent="0.55000000000000004">
      <c r="A38" s="156"/>
      <c r="B38" s="140"/>
      <c r="C38" s="140"/>
      <c r="D38" s="140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F38" s="131"/>
      <c r="AZ38" s="130"/>
      <c r="BA38" s="130"/>
      <c r="BB38" s="130"/>
      <c r="BC38" s="130"/>
    </row>
    <row r="39" spans="1:55" s="130" customFormat="1" x14ac:dyDescent="0.55000000000000004">
      <c r="A39" s="153">
        <v>1300</v>
      </c>
      <c r="B39" s="153">
        <v>2</v>
      </c>
      <c r="C39" s="154" t="s">
        <v>307</v>
      </c>
      <c r="D39" s="155" t="s">
        <v>308</v>
      </c>
      <c r="E39" s="128">
        <v>1</v>
      </c>
      <c r="F39" s="127" t="str">
        <f t="shared" ref="F39:F51" si="24">IF(E39=1,"مرد","زن")</f>
        <v>مرد</v>
      </c>
      <c r="G39" s="127" t="s">
        <v>309</v>
      </c>
      <c r="H39" s="129">
        <v>71</v>
      </c>
      <c r="I39" s="127" t="s">
        <v>59</v>
      </c>
      <c r="J39" s="127" t="s">
        <v>310</v>
      </c>
      <c r="K39" s="129">
        <v>27151049</v>
      </c>
      <c r="L39" s="129">
        <v>9391367275</v>
      </c>
      <c r="M39" s="129">
        <v>5889965298</v>
      </c>
      <c r="N39" s="127">
        <v>2</v>
      </c>
      <c r="O39" s="127" t="str">
        <f t="shared" ref="O39:O51" si="25">IF(N39=1,"مجرد","متاهل")</f>
        <v>متاهل</v>
      </c>
      <c r="P39" s="142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A39" s="143"/>
      <c r="AB39" s="147">
        <v>1</v>
      </c>
      <c r="AC39" s="147" t="s">
        <v>227</v>
      </c>
      <c r="AD39" s="147" t="s">
        <v>192</v>
      </c>
      <c r="AE39" s="147"/>
      <c r="AF39" s="147" t="s">
        <v>311</v>
      </c>
      <c r="AG39" s="148" t="s">
        <v>312</v>
      </c>
      <c r="AH39" s="149">
        <v>7</v>
      </c>
      <c r="AI39" s="149" t="s">
        <v>280</v>
      </c>
      <c r="AJ39" s="149" t="s">
        <v>330</v>
      </c>
      <c r="AK39" s="149" t="s">
        <v>331</v>
      </c>
      <c r="AL39" s="149">
        <v>1795587</v>
      </c>
      <c r="AM39" s="149"/>
      <c r="AN39" s="149">
        <v>0.48999999999068677</v>
      </c>
      <c r="AO39" s="149">
        <f t="shared" ref="AO39:AO51" si="26">SUM(AL39:AN39)</f>
        <v>1795587.49</v>
      </c>
      <c r="AP39" s="149">
        <f t="shared" ref="AP39:AP51" si="27">AO39*30</f>
        <v>53867624.700000003</v>
      </c>
      <c r="AQ39" s="149">
        <v>9000000</v>
      </c>
      <c r="AR39" s="149">
        <f t="shared" ref="AR39:AR51" si="28">AB39*5308284</f>
        <v>5308284</v>
      </c>
      <c r="AS39" s="149">
        <v>11000000</v>
      </c>
      <c r="AT39" s="149">
        <f t="shared" ref="AT39:AT51" si="29">SUM(AQ39:AS39)</f>
        <v>25308284</v>
      </c>
      <c r="AU39" s="149">
        <f t="shared" ref="AU39:AU51" si="30">AT39+AP39</f>
        <v>79175908.700000003</v>
      </c>
      <c r="AV39" s="75"/>
      <c r="AW39" s="75"/>
      <c r="AX39" s="75"/>
    </row>
    <row r="40" spans="1:55" s="130" customFormat="1" x14ac:dyDescent="0.55000000000000004">
      <c r="A40" s="153">
        <v>1301</v>
      </c>
      <c r="B40" s="153">
        <v>3</v>
      </c>
      <c r="C40" s="154" t="s">
        <v>281</v>
      </c>
      <c r="D40" s="155" t="s">
        <v>190</v>
      </c>
      <c r="E40" s="128">
        <v>1</v>
      </c>
      <c r="F40" s="127" t="str">
        <f t="shared" si="24"/>
        <v>مرد</v>
      </c>
      <c r="G40" s="127" t="s">
        <v>282</v>
      </c>
      <c r="H40" s="129">
        <v>315</v>
      </c>
      <c r="I40" s="127" t="s">
        <v>59</v>
      </c>
      <c r="J40" s="127" t="s">
        <v>283</v>
      </c>
      <c r="K40" s="129">
        <v>46756703</v>
      </c>
      <c r="L40" s="129">
        <v>5160613516</v>
      </c>
      <c r="M40" s="129">
        <v>5889203177</v>
      </c>
      <c r="N40" s="127">
        <v>2</v>
      </c>
      <c r="O40" s="127" t="str">
        <f t="shared" si="25"/>
        <v>متاهل</v>
      </c>
      <c r="P40" s="142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7">
        <v>4</v>
      </c>
      <c r="AC40" s="147" t="s">
        <v>227</v>
      </c>
      <c r="AD40" s="147" t="s">
        <v>188</v>
      </c>
      <c r="AE40" s="147"/>
      <c r="AF40" s="147" t="s">
        <v>74</v>
      </c>
      <c r="AG40" s="148" t="s">
        <v>230</v>
      </c>
      <c r="AH40" s="149">
        <v>2</v>
      </c>
      <c r="AI40" s="149" t="s">
        <v>284</v>
      </c>
      <c r="AJ40" s="149" t="s">
        <v>330</v>
      </c>
      <c r="AK40" s="149" t="s">
        <v>331</v>
      </c>
      <c r="AL40" s="149">
        <v>1773348</v>
      </c>
      <c r="AM40" s="149">
        <v>70200</v>
      </c>
      <c r="AN40" s="149">
        <v>424119.20999999996</v>
      </c>
      <c r="AO40" s="149">
        <f t="shared" si="26"/>
        <v>2267667.21</v>
      </c>
      <c r="AP40" s="149">
        <f t="shared" si="27"/>
        <v>68030016.299999997</v>
      </c>
      <c r="AQ40" s="149">
        <v>9000000</v>
      </c>
      <c r="AR40" s="149">
        <f t="shared" si="28"/>
        <v>21233136</v>
      </c>
      <c r="AS40" s="149">
        <v>11000000</v>
      </c>
      <c r="AT40" s="149">
        <f t="shared" si="29"/>
        <v>41233136</v>
      </c>
      <c r="AU40" s="149">
        <f t="shared" si="30"/>
        <v>109263152.3</v>
      </c>
      <c r="AV40" s="75"/>
      <c r="AW40" s="75"/>
      <c r="AX40" s="75"/>
    </row>
    <row r="41" spans="1:55" s="130" customFormat="1" x14ac:dyDescent="0.55000000000000004">
      <c r="A41" s="153">
        <v>1302</v>
      </c>
      <c r="B41" s="153">
        <v>6</v>
      </c>
      <c r="C41" s="154" t="s">
        <v>186</v>
      </c>
      <c r="D41" s="155" t="s">
        <v>99</v>
      </c>
      <c r="E41" s="128">
        <v>1</v>
      </c>
      <c r="F41" s="127" t="str">
        <f t="shared" si="24"/>
        <v>مرد</v>
      </c>
      <c r="G41" s="127" t="s">
        <v>285</v>
      </c>
      <c r="H41" s="129">
        <v>6</v>
      </c>
      <c r="I41" s="127" t="s">
        <v>59</v>
      </c>
      <c r="J41" s="127" t="s">
        <v>286</v>
      </c>
      <c r="K41" s="129">
        <v>45952821</v>
      </c>
      <c r="L41" s="129">
        <v>1778089985</v>
      </c>
      <c r="M41" s="129">
        <v>5889979175</v>
      </c>
      <c r="N41" s="127">
        <v>2</v>
      </c>
      <c r="O41" s="127" t="str">
        <f t="shared" si="25"/>
        <v>متاهل</v>
      </c>
      <c r="P41" s="142"/>
      <c r="Q41" s="143"/>
      <c r="R41" s="143"/>
      <c r="S41" s="143"/>
      <c r="T41" s="143"/>
      <c r="U41" s="143"/>
      <c r="V41" s="143"/>
      <c r="W41" s="143"/>
      <c r="X41" s="143"/>
      <c r="Y41" s="143"/>
      <c r="Z41" s="143"/>
      <c r="AA41" s="143"/>
      <c r="AB41" s="147">
        <v>2</v>
      </c>
      <c r="AC41" s="147" t="s">
        <v>227</v>
      </c>
      <c r="AD41" s="147" t="s">
        <v>189</v>
      </c>
      <c r="AE41" s="147"/>
      <c r="AF41" s="147" t="s">
        <v>74</v>
      </c>
      <c r="AG41" s="148" t="s">
        <v>230</v>
      </c>
      <c r="AH41" s="149">
        <v>2</v>
      </c>
      <c r="AI41" s="149" t="s">
        <v>280</v>
      </c>
      <c r="AJ41" s="149" t="s">
        <v>330</v>
      </c>
      <c r="AK41" s="149" t="s">
        <v>331</v>
      </c>
      <c r="AL41" s="149">
        <v>1773348</v>
      </c>
      <c r="AM41" s="149"/>
      <c r="AN41" s="149">
        <v>0</v>
      </c>
      <c r="AO41" s="149">
        <f t="shared" si="26"/>
        <v>1773348</v>
      </c>
      <c r="AP41" s="149">
        <f t="shared" si="27"/>
        <v>53200440</v>
      </c>
      <c r="AQ41" s="149">
        <v>9000000</v>
      </c>
      <c r="AR41" s="149">
        <f t="shared" si="28"/>
        <v>10616568</v>
      </c>
      <c r="AS41" s="149">
        <v>11000000</v>
      </c>
      <c r="AT41" s="149">
        <f t="shared" si="29"/>
        <v>30616568</v>
      </c>
      <c r="AU41" s="149">
        <f t="shared" si="30"/>
        <v>83817008</v>
      </c>
      <c r="AV41" s="75"/>
      <c r="AW41" s="75"/>
      <c r="AX41" s="75"/>
    </row>
    <row r="42" spans="1:55" s="130" customFormat="1" x14ac:dyDescent="0.55000000000000004">
      <c r="A42" s="153">
        <v>1303</v>
      </c>
      <c r="B42" s="153">
        <v>4</v>
      </c>
      <c r="C42" s="154" t="s">
        <v>34</v>
      </c>
      <c r="D42" s="155" t="s">
        <v>99</v>
      </c>
      <c r="E42" s="128">
        <v>1</v>
      </c>
      <c r="F42" s="127" t="str">
        <f t="shared" si="24"/>
        <v>مرد</v>
      </c>
      <c r="G42" s="127" t="s">
        <v>313</v>
      </c>
      <c r="H42" s="129">
        <v>1713</v>
      </c>
      <c r="I42" s="127" t="s">
        <v>59</v>
      </c>
      <c r="J42" s="127" t="s">
        <v>314</v>
      </c>
      <c r="K42" s="129">
        <v>46740549</v>
      </c>
      <c r="L42" s="129">
        <v>5087942591</v>
      </c>
      <c r="M42" s="129">
        <v>5889220829</v>
      </c>
      <c r="N42" s="127">
        <v>2</v>
      </c>
      <c r="O42" s="127" t="str">
        <f t="shared" si="25"/>
        <v>متاهل</v>
      </c>
      <c r="P42" s="142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7">
        <v>0</v>
      </c>
      <c r="AC42" s="147" t="s">
        <v>227</v>
      </c>
      <c r="AD42" s="147" t="s">
        <v>188</v>
      </c>
      <c r="AE42" s="147"/>
      <c r="AF42" s="147" t="s">
        <v>91</v>
      </c>
      <c r="AG42" s="148" t="s">
        <v>269</v>
      </c>
      <c r="AH42" s="149">
        <v>7</v>
      </c>
      <c r="AI42" s="149" t="s">
        <v>193</v>
      </c>
      <c r="AJ42" s="149" t="s">
        <v>330</v>
      </c>
      <c r="AK42" s="149" t="s">
        <v>331</v>
      </c>
      <c r="AL42" s="149">
        <v>1795587</v>
      </c>
      <c r="AM42" s="149">
        <v>71200</v>
      </c>
      <c r="AN42" s="149">
        <v>440652.23999999976</v>
      </c>
      <c r="AO42" s="149">
        <f t="shared" si="26"/>
        <v>2307439.2399999998</v>
      </c>
      <c r="AP42" s="149">
        <f t="shared" si="27"/>
        <v>69223177.199999988</v>
      </c>
      <c r="AQ42" s="149">
        <v>9000000</v>
      </c>
      <c r="AR42" s="149">
        <f t="shared" si="28"/>
        <v>0</v>
      </c>
      <c r="AS42" s="149">
        <v>11000000</v>
      </c>
      <c r="AT42" s="149">
        <f t="shared" si="29"/>
        <v>20000000</v>
      </c>
      <c r="AU42" s="149">
        <f t="shared" si="30"/>
        <v>89223177.199999988</v>
      </c>
      <c r="AV42" s="75"/>
      <c r="AW42" s="75"/>
      <c r="AX42" s="75"/>
      <c r="AZ42" s="75"/>
      <c r="BA42" s="75"/>
      <c r="BB42" s="75"/>
      <c r="BC42" s="75"/>
    </row>
    <row r="43" spans="1:55" s="130" customFormat="1" x14ac:dyDescent="0.55000000000000004">
      <c r="A43" s="153">
        <v>1304</v>
      </c>
      <c r="B43" s="153">
        <v>5</v>
      </c>
      <c r="C43" s="154" t="s">
        <v>315</v>
      </c>
      <c r="D43" s="155" t="s">
        <v>99</v>
      </c>
      <c r="E43" s="128">
        <v>1</v>
      </c>
      <c r="F43" s="127" t="str">
        <f t="shared" si="24"/>
        <v>مرد</v>
      </c>
      <c r="G43" s="127" t="s">
        <v>316</v>
      </c>
      <c r="H43" s="129">
        <v>4310073603</v>
      </c>
      <c r="I43" s="127" t="s">
        <v>59</v>
      </c>
      <c r="J43" s="127" t="s">
        <v>317</v>
      </c>
      <c r="K43" s="129">
        <v>27176580</v>
      </c>
      <c r="L43" s="129">
        <v>3164726557</v>
      </c>
      <c r="M43" s="129">
        <v>4310073603</v>
      </c>
      <c r="N43" s="127">
        <v>2</v>
      </c>
      <c r="O43" s="127" t="str">
        <f t="shared" si="25"/>
        <v>متاهل</v>
      </c>
      <c r="P43" s="142"/>
      <c r="Q43" s="143"/>
      <c r="R43" s="143"/>
      <c r="S43" s="143"/>
      <c r="T43" s="143"/>
      <c r="U43" s="143"/>
      <c r="V43" s="143"/>
      <c r="W43" s="143"/>
      <c r="X43" s="143"/>
      <c r="Y43" s="143"/>
      <c r="Z43" s="143"/>
      <c r="AA43" s="143"/>
      <c r="AB43" s="147">
        <v>1</v>
      </c>
      <c r="AC43" s="147" t="s">
        <v>227</v>
      </c>
      <c r="AD43" s="147" t="s">
        <v>191</v>
      </c>
      <c r="AE43" s="147"/>
      <c r="AF43" s="147" t="s">
        <v>91</v>
      </c>
      <c r="AG43" s="148" t="s">
        <v>269</v>
      </c>
      <c r="AH43" s="149">
        <v>7</v>
      </c>
      <c r="AI43" s="149" t="s">
        <v>280</v>
      </c>
      <c r="AJ43" s="149" t="s">
        <v>330</v>
      </c>
      <c r="AK43" s="149" t="s">
        <v>331</v>
      </c>
      <c r="AL43" s="149">
        <v>1795587</v>
      </c>
      <c r="AM43" s="149"/>
      <c r="AN43" s="149">
        <v>0.48999999999068677</v>
      </c>
      <c r="AO43" s="149">
        <f t="shared" si="26"/>
        <v>1795587.49</v>
      </c>
      <c r="AP43" s="149">
        <f t="shared" si="27"/>
        <v>53867624.700000003</v>
      </c>
      <c r="AQ43" s="149">
        <v>9000000</v>
      </c>
      <c r="AR43" s="149">
        <f t="shared" si="28"/>
        <v>5308284</v>
      </c>
      <c r="AS43" s="149">
        <v>11000000</v>
      </c>
      <c r="AT43" s="149">
        <f t="shared" si="29"/>
        <v>25308284</v>
      </c>
      <c r="AU43" s="149">
        <f t="shared" si="30"/>
        <v>79175908.700000003</v>
      </c>
      <c r="AV43" s="75"/>
      <c r="AW43" s="75"/>
      <c r="AX43" s="75"/>
    </row>
    <row r="44" spans="1:55" s="130" customFormat="1" x14ac:dyDescent="0.55000000000000004">
      <c r="A44" s="153">
        <v>1305</v>
      </c>
      <c r="B44" s="153">
        <v>7</v>
      </c>
      <c r="C44" s="154" t="s">
        <v>318</v>
      </c>
      <c r="D44" s="155" t="s">
        <v>105</v>
      </c>
      <c r="E44" s="128">
        <v>1</v>
      </c>
      <c r="F44" s="127" t="str">
        <f t="shared" si="24"/>
        <v>مرد</v>
      </c>
      <c r="G44" s="127" t="s">
        <v>319</v>
      </c>
      <c r="H44" s="129">
        <v>85</v>
      </c>
      <c r="I44" s="127" t="s">
        <v>266</v>
      </c>
      <c r="J44" s="127" t="s">
        <v>320</v>
      </c>
      <c r="K44" s="129">
        <v>27151209</v>
      </c>
      <c r="L44" s="129">
        <v>1279892860</v>
      </c>
      <c r="M44" s="129">
        <v>5899985194</v>
      </c>
      <c r="N44" s="127">
        <v>2</v>
      </c>
      <c r="O44" s="127" t="str">
        <f t="shared" si="25"/>
        <v>متاهل</v>
      </c>
      <c r="P44" s="142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7">
        <v>2</v>
      </c>
      <c r="AC44" s="147" t="s">
        <v>227</v>
      </c>
      <c r="AD44" s="147" t="s">
        <v>188</v>
      </c>
      <c r="AE44" s="147"/>
      <c r="AF44" s="147" t="s">
        <v>91</v>
      </c>
      <c r="AG44" s="148" t="s">
        <v>269</v>
      </c>
      <c r="AH44" s="149">
        <v>7</v>
      </c>
      <c r="AI44" s="149" t="s">
        <v>321</v>
      </c>
      <c r="AJ44" s="149" t="s">
        <v>330</v>
      </c>
      <c r="AK44" s="149" t="s">
        <v>331</v>
      </c>
      <c r="AL44" s="149">
        <v>1795587</v>
      </c>
      <c r="AM44" s="149">
        <v>71200</v>
      </c>
      <c r="AN44" s="149">
        <v>527249.52</v>
      </c>
      <c r="AO44" s="149">
        <f t="shared" si="26"/>
        <v>2394036.52</v>
      </c>
      <c r="AP44" s="149">
        <f t="shared" si="27"/>
        <v>71821095.599999994</v>
      </c>
      <c r="AQ44" s="149">
        <v>9000000</v>
      </c>
      <c r="AR44" s="149">
        <f t="shared" si="28"/>
        <v>10616568</v>
      </c>
      <c r="AS44" s="149">
        <v>11000000</v>
      </c>
      <c r="AT44" s="149">
        <f t="shared" si="29"/>
        <v>30616568</v>
      </c>
      <c r="AU44" s="149">
        <f t="shared" si="30"/>
        <v>102437663.59999999</v>
      </c>
      <c r="AV44" s="75"/>
      <c r="AW44" s="75"/>
      <c r="AX44" s="75"/>
    </row>
    <row r="45" spans="1:55" s="130" customFormat="1" x14ac:dyDescent="0.55000000000000004">
      <c r="A45" s="153">
        <v>1306</v>
      </c>
      <c r="B45" s="153">
        <v>8</v>
      </c>
      <c r="C45" s="154" t="s">
        <v>287</v>
      </c>
      <c r="D45" s="155" t="s">
        <v>288</v>
      </c>
      <c r="E45" s="128">
        <v>1</v>
      </c>
      <c r="F45" s="127" t="str">
        <f t="shared" si="24"/>
        <v>مرد</v>
      </c>
      <c r="G45" s="127" t="s">
        <v>289</v>
      </c>
      <c r="H45" s="129">
        <v>1103</v>
      </c>
      <c r="I45" s="127" t="s">
        <v>59</v>
      </c>
      <c r="J45" s="127" t="s">
        <v>290</v>
      </c>
      <c r="K45" s="129">
        <v>27075511</v>
      </c>
      <c r="L45" s="129">
        <v>857243401</v>
      </c>
      <c r="M45" s="129">
        <v>5889619969</v>
      </c>
      <c r="N45" s="127">
        <v>2</v>
      </c>
      <c r="O45" s="127" t="str">
        <f t="shared" si="25"/>
        <v>متاهل</v>
      </c>
      <c r="P45" s="142"/>
      <c r="Q45" s="143"/>
      <c r="R45" s="143"/>
      <c r="S45" s="143"/>
      <c r="T45" s="143"/>
      <c r="U45" s="143"/>
      <c r="V45" s="143"/>
      <c r="W45" s="143"/>
      <c r="X45" s="143"/>
      <c r="Y45" s="143"/>
      <c r="Z45" s="143"/>
      <c r="AA45" s="143"/>
      <c r="AB45" s="147">
        <v>1</v>
      </c>
      <c r="AC45" s="147" t="s">
        <v>227</v>
      </c>
      <c r="AD45" s="147" t="s">
        <v>188</v>
      </c>
      <c r="AE45" s="147"/>
      <c r="AF45" s="147" t="s">
        <v>74</v>
      </c>
      <c r="AG45" s="148" t="s">
        <v>230</v>
      </c>
      <c r="AH45" s="149">
        <v>2</v>
      </c>
      <c r="AI45" s="149" t="s">
        <v>280</v>
      </c>
      <c r="AJ45" s="149" t="s">
        <v>330</v>
      </c>
      <c r="AK45" s="149" t="s">
        <v>331</v>
      </c>
      <c r="AL45" s="149">
        <v>1773348</v>
      </c>
      <c r="AM45" s="149"/>
      <c r="AN45" s="149">
        <v>0</v>
      </c>
      <c r="AO45" s="149">
        <f t="shared" si="26"/>
        <v>1773348</v>
      </c>
      <c r="AP45" s="149">
        <f t="shared" si="27"/>
        <v>53200440</v>
      </c>
      <c r="AQ45" s="149">
        <v>9000000</v>
      </c>
      <c r="AR45" s="149">
        <f t="shared" si="28"/>
        <v>5308284</v>
      </c>
      <c r="AS45" s="149">
        <v>11000000</v>
      </c>
      <c r="AT45" s="149">
        <f t="shared" si="29"/>
        <v>25308284</v>
      </c>
      <c r="AU45" s="149">
        <f t="shared" si="30"/>
        <v>78508724</v>
      </c>
      <c r="AV45" s="75"/>
      <c r="AW45" s="75"/>
      <c r="AX45" s="75"/>
    </row>
    <row r="46" spans="1:55" s="130" customFormat="1" x14ac:dyDescent="0.55000000000000004">
      <c r="A46" s="153">
        <v>1307</v>
      </c>
      <c r="B46" s="153">
        <v>9</v>
      </c>
      <c r="C46" s="154" t="s">
        <v>104</v>
      </c>
      <c r="D46" s="155" t="s">
        <v>288</v>
      </c>
      <c r="E46" s="128">
        <v>1</v>
      </c>
      <c r="F46" s="127" t="str">
        <f t="shared" si="24"/>
        <v>مرد</v>
      </c>
      <c r="G46" s="127" t="s">
        <v>291</v>
      </c>
      <c r="H46" s="129">
        <v>29</v>
      </c>
      <c r="I46" s="127" t="s">
        <v>59</v>
      </c>
      <c r="J46" s="127" t="s">
        <v>292</v>
      </c>
      <c r="K46" s="129">
        <v>27163913</v>
      </c>
      <c r="L46" s="129">
        <v>8236438053</v>
      </c>
      <c r="M46" s="129">
        <v>5889969846</v>
      </c>
      <c r="N46" s="127">
        <v>2</v>
      </c>
      <c r="O46" s="127" t="str">
        <f t="shared" si="25"/>
        <v>متاهل</v>
      </c>
      <c r="P46" s="142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7">
        <v>1</v>
      </c>
      <c r="AC46" s="147" t="s">
        <v>227</v>
      </c>
      <c r="AD46" s="147" t="s">
        <v>192</v>
      </c>
      <c r="AE46" s="147"/>
      <c r="AF46" s="147" t="s">
        <v>74</v>
      </c>
      <c r="AG46" s="148" t="s">
        <v>230</v>
      </c>
      <c r="AH46" s="149">
        <v>2</v>
      </c>
      <c r="AI46" s="149" t="s">
        <v>293</v>
      </c>
      <c r="AJ46" s="149" t="s">
        <v>330</v>
      </c>
      <c r="AK46" s="149" t="s">
        <v>331</v>
      </c>
      <c r="AL46" s="149">
        <v>1773348</v>
      </c>
      <c r="AM46" s="149">
        <v>70200</v>
      </c>
      <c r="AN46" s="149">
        <v>389636.62999999989</v>
      </c>
      <c r="AO46" s="149">
        <f t="shared" si="26"/>
        <v>2233184.63</v>
      </c>
      <c r="AP46" s="149">
        <f t="shared" si="27"/>
        <v>66995538.899999999</v>
      </c>
      <c r="AQ46" s="149">
        <v>9000000</v>
      </c>
      <c r="AR46" s="149">
        <f t="shared" si="28"/>
        <v>5308284</v>
      </c>
      <c r="AS46" s="149">
        <v>11000000</v>
      </c>
      <c r="AT46" s="149">
        <f t="shared" si="29"/>
        <v>25308284</v>
      </c>
      <c r="AU46" s="149">
        <f t="shared" si="30"/>
        <v>92303822.900000006</v>
      </c>
      <c r="AV46" s="75"/>
      <c r="AW46" s="75"/>
      <c r="AX46" s="75"/>
    </row>
    <row r="47" spans="1:55" s="130" customFormat="1" x14ac:dyDescent="0.55000000000000004">
      <c r="A47" s="153">
        <v>1308</v>
      </c>
      <c r="B47" s="153">
        <v>10</v>
      </c>
      <c r="C47" s="154" t="s">
        <v>322</v>
      </c>
      <c r="D47" s="155" t="s">
        <v>323</v>
      </c>
      <c r="E47" s="128">
        <v>1</v>
      </c>
      <c r="F47" s="127" t="str">
        <f t="shared" si="24"/>
        <v>مرد</v>
      </c>
      <c r="G47" s="127" t="s">
        <v>324</v>
      </c>
      <c r="H47" s="129">
        <v>19</v>
      </c>
      <c r="I47" s="127" t="s">
        <v>59</v>
      </c>
      <c r="J47" s="127" t="s">
        <v>325</v>
      </c>
      <c r="K47" s="129">
        <v>46761452</v>
      </c>
      <c r="L47" s="129">
        <v>1680429243</v>
      </c>
      <c r="M47" s="129">
        <v>5889948938</v>
      </c>
      <c r="N47" s="127">
        <v>2</v>
      </c>
      <c r="O47" s="127" t="str">
        <f t="shared" si="25"/>
        <v>متاهل</v>
      </c>
      <c r="P47" s="142"/>
      <c r="Q47" s="143"/>
      <c r="R47" s="143"/>
      <c r="S47" s="143"/>
      <c r="T47" s="143"/>
      <c r="U47" s="143"/>
      <c r="V47" s="143"/>
      <c r="W47" s="143"/>
      <c r="X47" s="143"/>
      <c r="Y47" s="143"/>
      <c r="Z47" s="143"/>
      <c r="AA47" s="143"/>
      <c r="AB47" s="147">
        <v>1</v>
      </c>
      <c r="AC47" s="147" t="s">
        <v>227</v>
      </c>
      <c r="AD47" s="147" t="s">
        <v>188</v>
      </c>
      <c r="AE47" s="147"/>
      <c r="AF47" s="147" t="s">
        <v>91</v>
      </c>
      <c r="AG47" s="148" t="s">
        <v>269</v>
      </c>
      <c r="AH47" s="149">
        <v>7</v>
      </c>
      <c r="AI47" s="149" t="s">
        <v>280</v>
      </c>
      <c r="AJ47" s="149" t="s">
        <v>330</v>
      </c>
      <c r="AK47" s="149" t="s">
        <v>331</v>
      </c>
      <c r="AL47" s="149">
        <v>1795587</v>
      </c>
      <c r="AM47" s="149"/>
      <c r="AN47" s="149">
        <v>0.48999999999068677</v>
      </c>
      <c r="AO47" s="149">
        <f t="shared" si="26"/>
        <v>1795587.49</v>
      </c>
      <c r="AP47" s="149">
        <f t="shared" si="27"/>
        <v>53867624.700000003</v>
      </c>
      <c r="AQ47" s="149">
        <v>9000000</v>
      </c>
      <c r="AR47" s="149">
        <f t="shared" si="28"/>
        <v>5308284</v>
      </c>
      <c r="AS47" s="149">
        <v>11000000</v>
      </c>
      <c r="AT47" s="149">
        <f t="shared" si="29"/>
        <v>25308284</v>
      </c>
      <c r="AU47" s="149">
        <f t="shared" si="30"/>
        <v>79175908.700000003</v>
      </c>
      <c r="AV47" s="75"/>
      <c r="AW47" s="75"/>
      <c r="AX47" s="75"/>
    </row>
    <row r="48" spans="1:55" s="130" customFormat="1" x14ac:dyDescent="0.55000000000000004">
      <c r="A48" s="153">
        <v>1309</v>
      </c>
      <c r="B48" s="153">
        <v>11</v>
      </c>
      <c r="C48" s="154" t="s">
        <v>294</v>
      </c>
      <c r="D48" s="155" t="s">
        <v>295</v>
      </c>
      <c r="E48" s="128">
        <v>1</v>
      </c>
      <c r="F48" s="127" t="str">
        <f t="shared" si="24"/>
        <v>مرد</v>
      </c>
      <c r="G48" s="127" t="s">
        <v>296</v>
      </c>
      <c r="H48" s="129">
        <v>22</v>
      </c>
      <c r="I48" s="127" t="s">
        <v>59</v>
      </c>
      <c r="J48" s="127" t="s">
        <v>297</v>
      </c>
      <c r="K48" s="129">
        <v>22602584</v>
      </c>
      <c r="L48" s="129">
        <v>4119447053</v>
      </c>
      <c r="M48" s="129">
        <v>5889968955</v>
      </c>
      <c r="N48" s="127">
        <v>2</v>
      </c>
      <c r="O48" s="127" t="str">
        <f t="shared" si="25"/>
        <v>متاهل</v>
      </c>
      <c r="P48" s="142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7">
        <v>1</v>
      </c>
      <c r="AC48" s="147" t="s">
        <v>227</v>
      </c>
      <c r="AD48" s="147" t="s">
        <v>192</v>
      </c>
      <c r="AE48" s="147"/>
      <c r="AF48" s="147" t="s">
        <v>74</v>
      </c>
      <c r="AG48" s="148" t="s">
        <v>230</v>
      </c>
      <c r="AH48" s="149">
        <v>2</v>
      </c>
      <c r="AI48" s="149" t="s">
        <v>280</v>
      </c>
      <c r="AJ48" s="149" t="s">
        <v>330</v>
      </c>
      <c r="AK48" s="149" t="s">
        <v>331</v>
      </c>
      <c r="AL48" s="149">
        <v>1773348</v>
      </c>
      <c r="AM48" s="149"/>
      <c r="AN48" s="149">
        <v>0</v>
      </c>
      <c r="AO48" s="149">
        <f t="shared" si="26"/>
        <v>1773348</v>
      </c>
      <c r="AP48" s="149">
        <f t="shared" si="27"/>
        <v>53200440</v>
      </c>
      <c r="AQ48" s="149">
        <v>9000000</v>
      </c>
      <c r="AR48" s="149">
        <f t="shared" si="28"/>
        <v>5308284</v>
      </c>
      <c r="AS48" s="149">
        <v>11000000</v>
      </c>
      <c r="AT48" s="149">
        <f t="shared" si="29"/>
        <v>25308284</v>
      </c>
      <c r="AU48" s="149">
        <f t="shared" si="30"/>
        <v>78508724</v>
      </c>
      <c r="AV48" s="75"/>
      <c r="AW48" s="75"/>
      <c r="AX48" s="75"/>
    </row>
    <row r="49" spans="1:52" s="130" customFormat="1" x14ac:dyDescent="0.55000000000000004">
      <c r="A49" s="153">
        <v>1310</v>
      </c>
      <c r="B49" s="153">
        <v>12</v>
      </c>
      <c r="C49" s="154" t="s">
        <v>63</v>
      </c>
      <c r="D49" s="155" t="s">
        <v>298</v>
      </c>
      <c r="E49" s="128">
        <v>1</v>
      </c>
      <c r="F49" s="127" t="str">
        <f t="shared" si="24"/>
        <v>مرد</v>
      </c>
      <c r="G49" s="127" t="s">
        <v>299</v>
      </c>
      <c r="H49" s="129">
        <v>1000</v>
      </c>
      <c r="I49" s="127" t="s">
        <v>59</v>
      </c>
      <c r="J49" s="127" t="s">
        <v>300</v>
      </c>
      <c r="K49" s="129"/>
      <c r="L49" s="129">
        <v>5187520138</v>
      </c>
      <c r="M49" s="129">
        <v>5889553801</v>
      </c>
      <c r="N49" s="127">
        <v>2</v>
      </c>
      <c r="O49" s="127" t="str">
        <f t="shared" si="25"/>
        <v>متاهل</v>
      </c>
      <c r="P49" s="142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7">
        <v>2</v>
      </c>
      <c r="AC49" s="147" t="s">
        <v>227</v>
      </c>
      <c r="AD49" s="147" t="s">
        <v>188</v>
      </c>
      <c r="AE49" s="147"/>
      <c r="AF49" s="147" t="s">
        <v>74</v>
      </c>
      <c r="AG49" s="148" t="s">
        <v>230</v>
      </c>
      <c r="AH49" s="149">
        <v>2</v>
      </c>
      <c r="AI49" s="149" t="s">
        <v>301</v>
      </c>
      <c r="AJ49" s="149" t="s">
        <v>330</v>
      </c>
      <c r="AK49" s="149" t="s">
        <v>331</v>
      </c>
      <c r="AL49" s="149">
        <v>1773348</v>
      </c>
      <c r="AM49" s="149">
        <v>70200</v>
      </c>
      <c r="AN49" s="149">
        <v>424119.20999999996</v>
      </c>
      <c r="AO49" s="149">
        <f t="shared" si="26"/>
        <v>2267667.21</v>
      </c>
      <c r="AP49" s="149">
        <f t="shared" si="27"/>
        <v>68030016.299999997</v>
      </c>
      <c r="AQ49" s="149">
        <v>9000000</v>
      </c>
      <c r="AR49" s="149">
        <f t="shared" si="28"/>
        <v>10616568</v>
      </c>
      <c r="AS49" s="149">
        <v>11000000</v>
      </c>
      <c r="AT49" s="149">
        <f t="shared" si="29"/>
        <v>30616568</v>
      </c>
      <c r="AU49" s="149">
        <f t="shared" si="30"/>
        <v>98646584.299999997</v>
      </c>
      <c r="AV49" s="75"/>
      <c r="AW49" s="75"/>
      <c r="AX49" s="75"/>
    </row>
    <row r="50" spans="1:52" s="130" customFormat="1" x14ac:dyDescent="0.55000000000000004">
      <c r="A50" s="153">
        <v>1311</v>
      </c>
      <c r="B50" s="153">
        <v>13</v>
      </c>
      <c r="C50" s="154" t="s">
        <v>174</v>
      </c>
      <c r="D50" s="155" t="s">
        <v>326</v>
      </c>
      <c r="E50" s="128">
        <v>1</v>
      </c>
      <c r="F50" s="127" t="str">
        <f t="shared" si="24"/>
        <v>مرد</v>
      </c>
      <c r="G50" s="127" t="s">
        <v>327</v>
      </c>
      <c r="H50" s="129">
        <v>1165</v>
      </c>
      <c r="I50" s="127" t="s">
        <v>59</v>
      </c>
      <c r="J50" s="127" t="s">
        <v>328</v>
      </c>
      <c r="K50" s="129">
        <v>27213839</v>
      </c>
      <c r="L50" s="129">
        <v>11238051776</v>
      </c>
      <c r="M50" s="129">
        <v>5889651293</v>
      </c>
      <c r="N50" s="127">
        <v>2</v>
      </c>
      <c r="O50" s="127" t="str">
        <f t="shared" si="25"/>
        <v>متاهل</v>
      </c>
      <c r="P50" s="142"/>
      <c r="Q50" s="143"/>
      <c r="R50" s="143"/>
      <c r="S50" s="143"/>
      <c r="T50" s="143"/>
      <c r="U50" s="143"/>
      <c r="V50" s="143"/>
      <c r="W50" s="143"/>
      <c r="X50" s="143"/>
      <c r="Y50" s="143"/>
      <c r="Z50" s="143"/>
      <c r="AA50" s="143"/>
      <c r="AB50" s="147">
        <v>0</v>
      </c>
      <c r="AC50" s="147" t="s">
        <v>227</v>
      </c>
      <c r="AD50" s="147" t="s">
        <v>188</v>
      </c>
      <c r="AE50" s="147"/>
      <c r="AF50" s="147" t="s">
        <v>91</v>
      </c>
      <c r="AG50" s="148" t="s">
        <v>269</v>
      </c>
      <c r="AH50" s="149">
        <v>7</v>
      </c>
      <c r="AI50" s="149" t="s">
        <v>329</v>
      </c>
      <c r="AJ50" s="149" t="s">
        <v>330</v>
      </c>
      <c r="AK50" s="149" t="s">
        <v>331</v>
      </c>
      <c r="AL50" s="149">
        <v>1795587</v>
      </c>
      <c r="AM50" s="149">
        <v>71200</v>
      </c>
      <c r="AN50" s="149">
        <v>86152.489999999991</v>
      </c>
      <c r="AO50" s="149">
        <f t="shared" si="26"/>
        <v>1952939.49</v>
      </c>
      <c r="AP50" s="149">
        <f t="shared" si="27"/>
        <v>58588184.700000003</v>
      </c>
      <c r="AQ50" s="149">
        <v>9000000</v>
      </c>
      <c r="AR50" s="149">
        <f t="shared" si="28"/>
        <v>0</v>
      </c>
      <c r="AS50" s="149">
        <v>11000000</v>
      </c>
      <c r="AT50" s="149">
        <f t="shared" si="29"/>
        <v>20000000</v>
      </c>
      <c r="AU50" s="149">
        <f t="shared" si="30"/>
        <v>78588184.700000003</v>
      </c>
      <c r="AV50" s="75"/>
      <c r="AW50" s="75"/>
      <c r="AX50" s="75"/>
    </row>
    <row r="51" spans="1:52" s="130" customFormat="1" x14ac:dyDescent="0.55000000000000004">
      <c r="A51" s="153">
        <v>1312</v>
      </c>
      <c r="B51" s="153">
        <v>14</v>
      </c>
      <c r="C51" s="154" t="s">
        <v>302</v>
      </c>
      <c r="D51" s="155" t="s">
        <v>303</v>
      </c>
      <c r="E51" s="128">
        <v>1</v>
      </c>
      <c r="F51" s="127" t="str">
        <f t="shared" si="24"/>
        <v>مرد</v>
      </c>
      <c r="G51" s="127" t="s">
        <v>304</v>
      </c>
      <c r="H51" s="129">
        <v>794</v>
      </c>
      <c r="I51" s="127" t="s">
        <v>59</v>
      </c>
      <c r="J51" s="127" t="s">
        <v>305</v>
      </c>
      <c r="K51" s="129">
        <v>26556498</v>
      </c>
      <c r="L51" s="129">
        <v>427438368</v>
      </c>
      <c r="M51" s="129">
        <v>5889231839</v>
      </c>
      <c r="N51" s="127">
        <v>2</v>
      </c>
      <c r="O51" s="127" t="str">
        <f t="shared" si="25"/>
        <v>متاهل</v>
      </c>
      <c r="P51" s="142"/>
      <c r="Q51" s="143"/>
      <c r="R51" s="143"/>
      <c r="S51" s="143"/>
      <c r="T51" s="143"/>
      <c r="U51" s="143"/>
      <c r="V51" s="143"/>
      <c r="W51" s="143"/>
      <c r="X51" s="143"/>
      <c r="Y51" s="143"/>
      <c r="Z51" s="143"/>
      <c r="AA51" s="143"/>
      <c r="AB51" s="147">
        <v>2</v>
      </c>
      <c r="AC51" s="147" t="s">
        <v>227</v>
      </c>
      <c r="AD51" s="147" t="s">
        <v>188</v>
      </c>
      <c r="AE51" s="147"/>
      <c r="AF51" s="147" t="s">
        <v>74</v>
      </c>
      <c r="AG51" s="148" t="s">
        <v>230</v>
      </c>
      <c r="AH51" s="149">
        <v>2</v>
      </c>
      <c r="AI51" s="149" t="s">
        <v>306</v>
      </c>
      <c r="AJ51" s="149" t="s">
        <v>330</v>
      </c>
      <c r="AK51" s="149" t="s">
        <v>331</v>
      </c>
      <c r="AL51" s="149">
        <v>1773348</v>
      </c>
      <c r="AM51" s="149">
        <v>70200</v>
      </c>
      <c r="AN51" s="149">
        <v>290692.50999999978</v>
      </c>
      <c r="AO51" s="149">
        <f t="shared" si="26"/>
        <v>2134240.5099999998</v>
      </c>
      <c r="AP51" s="149">
        <f t="shared" si="27"/>
        <v>64027215.299999997</v>
      </c>
      <c r="AQ51" s="149">
        <v>9000000</v>
      </c>
      <c r="AR51" s="149">
        <f t="shared" si="28"/>
        <v>10616568</v>
      </c>
      <c r="AS51" s="149">
        <v>11000000</v>
      </c>
      <c r="AT51" s="149">
        <f t="shared" si="29"/>
        <v>30616568</v>
      </c>
      <c r="AU51" s="149">
        <f t="shared" si="30"/>
        <v>94643783.299999997</v>
      </c>
      <c r="AV51" s="75"/>
      <c r="AW51" s="75"/>
      <c r="AX51" s="75"/>
    </row>
    <row r="52" spans="1:52" x14ac:dyDescent="0.55000000000000004"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W52" s="130"/>
      <c r="AX52" s="130"/>
    </row>
    <row r="53" spans="1:52" s="130" customFormat="1" x14ac:dyDescent="0.55000000000000004">
      <c r="A53" s="153">
        <v>1404</v>
      </c>
      <c r="B53" s="153">
        <v>1</v>
      </c>
      <c r="C53" s="154" t="s">
        <v>347</v>
      </c>
      <c r="D53" s="155" t="s">
        <v>348</v>
      </c>
      <c r="E53" s="128">
        <v>1</v>
      </c>
      <c r="F53" s="127" t="str">
        <f t="shared" ref="F53:F84" si="31">IF(E53=1,"مرد","زن")</f>
        <v>مرد</v>
      </c>
      <c r="G53" s="127" t="s">
        <v>349</v>
      </c>
      <c r="H53" s="129"/>
      <c r="I53" s="127"/>
      <c r="J53" s="127"/>
      <c r="K53" s="129"/>
      <c r="L53" s="129"/>
      <c r="M53" s="129">
        <v>5899658932</v>
      </c>
      <c r="N53" s="127"/>
      <c r="O53" s="127"/>
      <c r="P53" s="142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7">
        <v>3</v>
      </c>
      <c r="AC53" s="147"/>
      <c r="AD53" s="147"/>
      <c r="AE53" s="147"/>
      <c r="AF53" s="147" t="s">
        <v>80</v>
      </c>
      <c r="AG53" s="148" t="s">
        <v>275</v>
      </c>
      <c r="AH53" s="149">
        <v>13</v>
      </c>
      <c r="AI53" s="149"/>
      <c r="AJ53" s="149"/>
      <c r="AK53" s="149"/>
      <c r="AL53" s="149">
        <v>1837461</v>
      </c>
      <c r="AM53" s="149">
        <v>72800</v>
      </c>
      <c r="AN53" s="149">
        <f t="shared" ref="AN53:AN84" si="32">AO53-AL53-AM53</f>
        <v>352767.74800000014</v>
      </c>
      <c r="AO53" s="149">
        <v>2263028.7480000001</v>
      </c>
      <c r="AP53" s="149">
        <f t="shared" ref="AP53:AP84" si="33">AO53*30</f>
        <v>67890862.439999998</v>
      </c>
      <c r="AQ53" s="149">
        <v>9000000</v>
      </c>
      <c r="AR53" s="149">
        <f t="shared" ref="AR53:AR84" si="34">AB53*5308284</f>
        <v>15924852</v>
      </c>
      <c r="AS53" s="149">
        <v>11000000</v>
      </c>
      <c r="AT53" s="149">
        <f t="shared" ref="AT53:AT84" si="35">SUM(AQ53:AS53)</f>
        <v>35924852</v>
      </c>
      <c r="AU53" s="149">
        <f t="shared" ref="AU53:AU84" si="36">AT53+AP53</f>
        <v>103815714.44</v>
      </c>
      <c r="AV53" s="75"/>
      <c r="AW53" s="161" t="s">
        <v>350</v>
      </c>
      <c r="AX53" s="161" t="s">
        <v>351</v>
      </c>
      <c r="AY53" s="162" t="s">
        <v>80</v>
      </c>
      <c r="AZ53" s="162"/>
    </row>
    <row r="54" spans="1:52" s="130" customFormat="1" x14ac:dyDescent="0.55000000000000004">
      <c r="A54" s="153">
        <v>1426</v>
      </c>
      <c r="B54" s="153">
        <v>2</v>
      </c>
      <c r="C54" s="154" t="s">
        <v>352</v>
      </c>
      <c r="D54" s="155" t="s">
        <v>353</v>
      </c>
      <c r="E54" s="128">
        <v>1</v>
      </c>
      <c r="F54" s="127" t="str">
        <f t="shared" si="31"/>
        <v>مرد</v>
      </c>
      <c r="G54" s="127" t="s">
        <v>354</v>
      </c>
      <c r="H54" s="129"/>
      <c r="I54" s="127"/>
      <c r="J54" s="127"/>
      <c r="K54" s="129"/>
      <c r="L54" s="129"/>
      <c r="M54" s="129">
        <v>5099284965</v>
      </c>
      <c r="N54" s="127"/>
      <c r="O54" s="127"/>
      <c r="P54" s="142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7">
        <v>3</v>
      </c>
      <c r="AC54" s="147"/>
      <c r="AD54" s="147"/>
      <c r="AE54" s="147"/>
      <c r="AF54" s="147" t="s">
        <v>355</v>
      </c>
      <c r="AG54" s="148" t="s">
        <v>356</v>
      </c>
      <c r="AH54" s="149">
        <v>7</v>
      </c>
      <c r="AI54" s="149"/>
      <c r="AJ54" s="149"/>
      <c r="AK54" s="149"/>
      <c r="AL54" s="149">
        <v>1795587</v>
      </c>
      <c r="AM54" s="149">
        <v>71200</v>
      </c>
      <c r="AN54" s="149">
        <f t="shared" si="32"/>
        <v>455726.09733333346</v>
      </c>
      <c r="AO54" s="149">
        <v>2322513.0973333335</v>
      </c>
      <c r="AP54" s="149">
        <f t="shared" si="33"/>
        <v>69675392.920000002</v>
      </c>
      <c r="AQ54" s="149">
        <v>9000000</v>
      </c>
      <c r="AR54" s="149">
        <f t="shared" si="34"/>
        <v>15924852</v>
      </c>
      <c r="AS54" s="149">
        <v>11000000</v>
      </c>
      <c r="AT54" s="149">
        <f t="shared" si="35"/>
        <v>35924852</v>
      </c>
      <c r="AU54" s="149">
        <f t="shared" si="36"/>
        <v>105600244.92</v>
      </c>
      <c r="AV54" s="75"/>
      <c r="AW54" s="161" t="s">
        <v>350</v>
      </c>
      <c r="AX54" s="161" t="s">
        <v>357</v>
      </c>
      <c r="AY54" s="162" t="s">
        <v>355</v>
      </c>
      <c r="AZ54" s="162" t="s">
        <v>358</v>
      </c>
    </row>
    <row r="55" spans="1:52" s="130" customFormat="1" x14ac:dyDescent="0.55000000000000004">
      <c r="A55" s="153">
        <v>1451</v>
      </c>
      <c r="B55" s="153">
        <v>3</v>
      </c>
      <c r="C55" s="154" t="s">
        <v>115</v>
      </c>
      <c r="D55" s="155" t="s">
        <v>359</v>
      </c>
      <c r="E55" s="128">
        <v>1</v>
      </c>
      <c r="F55" s="127" t="str">
        <f t="shared" si="31"/>
        <v>مرد</v>
      </c>
      <c r="G55" s="127" t="s">
        <v>360</v>
      </c>
      <c r="H55" s="129"/>
      <c r="I55" s="127"/>
      <c r="J55" s="127"/>
      <c r="K55" s="129"/>
      <c r="L55" s="129"/>
      <c r="M55" s="129">
        <v>4391835290</v>
      </c>
      <c r="N55" s="127"/>
      <c r="O55" s="127"/>
      <c r="P55" s="142"/>
      <c r="Q55" s="143"/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7">
        <v>0</v>
      </c>
      <c r="AC55" s="147"/>
      <c r="AD55" s="147"/>
      <c r="AE55" s="147"/>
      <c r="AF55" s="147" t="s">
        <v>361</v>
      </c>
      <c r="AG55" s="148" t="s">
        <v>246</v>
      </c>
      <c r="AH55" s="149">
        <v>4</v>
      </c>
      <c r="AI55" s="149"/>
      <c r="AJ55" s="149"/>
      <c r="AK55" s="149"/>
      <c r="AL55" s="149">
        <v>1781198</v>
      </c>
      <c r="AM55" s="149">
        <v>70600</v>
      </c>
      <c r="AN55" s="149">
        <f t="shared" si="32"/>
        <v>279976.2620000001</v>
      </c>
      <c r="AO55" s="149">
        <v>2131774.2620000001</v>
      </c>
      <c r="AP55" s="149">
        <f t="shared" si="33"/>
        <v>63953227.859999999</v>
      </c>
      <c r="AQ55" s="149">
        <v>9000000</v>
      </c>
      <c r="AR55" s="149">
        <f t="shared" si="34"/>
        <v>0</v>
      </c>
      <c r="AS55" s="149">
        <v>11000000</v>
      </c>
      <c r="AT55" s="149">
        <f t="shared" si="35"/>
        <v>20000000</v>
      </c>
      <c r="AU55" s="149">
        <f t="shared" si="36"/>
        <v>83953227.859999999</v>
      </c>
      <c r="AV55" s="75"/>
      <c r="AW55" s="161" t="s">
        <v>350</v>
      </c>
      <c r="AX55" s="161" t="s">
        <v>357</v>
      </c>
      <c r="AY55" s="162" t="s">
        <v>362</v>
      </c>
      <c r="AZ55" s="162"/>
    </row>
    <row r="56" spans="1:52" s="130" customFormat="1" x14ac:dyDescent="0.55000000000000004">
      <c r="A56" s="153">
        <v>1453</v>
      </c>
      <c r="B56" s="153">
        <v>4</v>
      </c>
      <c r="C56" s="154" t="s">
        <v>363</v>
      </c>
      <c r="D56" s="155" t="s">
        <v>364</v>
      </c>
      <c r="E56" s="128">
        <v>1</v>
      </c>
      <c r="F56" s="127" t="str">
        <f t="shared" si="31"/>
        <v>مرد</v>
      </c>
      <c r="G56" s="127" t="s">
        <v>365</v>
      </c>
      <c r="H56" s="129"/>
      <c r="I56" s="127"/>
      <c r="J56" s="127"/>
      <c r="K56" s="129"/>
      <c r="L56" s="129"/>
      <c r="M56" s="129">
        <v>4360154372</v>
      </c>
      <c r="N56" s="127"/>
      <c r="O56" s="127"/>
      <c r="P56" s="142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7">
        <v>1</v>
      </c>
      <c r="AC56" s="147"/>
      <c r="AD56" s="147"/>
      <c r="AE56" s="147"/>
      <c r="AF56" s="147" t="s">
        <v>153</v>
      </c>
      <c r="AG56" s="148" t="s">
        <v>256</v>
      </c>
      <c r="AH56" s="149">
        <v>6</v>
      </c>
      <c r="AI56" s="149"/>
      <c r="AJ56" s="149"/>
      <c r="AK56" s="149"/>
      <c r="AL56" s="149">
        <v>1790351</v>
      </c>
      <c r="AM56" s="149">
        <v>71000</v>
      </c>
      <c r="AN56" s="149">
        <f t="shared" si="32"/>
        <v>438416.61100000003</v>
      </c>
      <c r="AO56" s="149">
        <v>2299767.611</v>
      </c>
      <c r="AP56" s="149">
        <f t="shared" si="33"/>
        <v>68993028.329999998</v>
      </c>
      <c r="AQ56" s="149">
        <v>9000000</v>
      </c>
      <c r="AR56" s="149">
        <f t="shared" si="34"/>
        <v>5308284</v>
      </c>
      <c r="AS56" s="149">
        <v>11000000</v>
      </c>
      <c r="AT56" s="149">
        <f t="shared" si="35"/>
        <v>25308284</v>
      </c>
      <c r="AU56" s="149">
        <f t="shared" si="36"/>
        <v>94301312.329999998</v>
      </c>
      <c r="AV56" s="75"/>
      <c r="AW56" s="161" t="s">
        <v>350</v>
      </c>
      <c r="AX56" s="161" t="s">
        <v>366</v>
      </c>
      <c r="AY56" s="162" t="s">
        <v>153</v>
      </c>
      <c r="AZ56" s="162"/>
    </row>
    <row r="57" spans="1:52" s="130" customFormat="1" x14ac:dyDescent="0.55000000000000004">
      <c r="A57" s="153">
        <v>1402</v>
      </c>
      <c r="B57" s="153">
        <v>5</v>
      </c>
      <c r="C57" s="154" t="s">
        <v>367</v>
      </c>
      <c r="D57" s="155" t="s">
        <v>368</v>
      </c>
      <c r="E57" s="128">
        <v>1</v>
      </c>
      <c r="F57" s="127" t="str">
        <f t="shared" si="31"/>
        <v>مرد</v>
      </c>
      <c r="G57" s="127" t="s">
        <v>369</v>
      </c>
      <c r="H57" s="129"/>
      <c r="I57" s="127"/>
      <c r="J57" s="127"/>
      <c r="K57" s="129"/>
      <c r="L57" s="129"/>
      <c r="M57" s="129">
        <v>4380301168</v>
      </c>
      <c r="N57" s="127"/>
      <c r="O57" s="127"/>
      <c r="P57" s="142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7">
        <v>0</v>
      </c>
      <c r="AC57" s="147"/>
      <c r="AD57" s="147"/>
      <c r="AE57" s="147"/>
      <c r="AF57" s="147" t="s">
        <v>80</v>
      </c>
      <c r="AG57" s="148" t="s">
        <v>275</v>
      </c>
      <c r="AH57" s="149">
        <v>13</v>
      </c>
      <c r="AI57" s="149"/>
      <c r="AJ57" s="149"/>
      <c r="AK57" s="149"/>
      <c r="AL57" s="149">
        <v>1837461</v>
      </c>
      <c r="AM57" s="149">
        <v>72800</v>
      </c>
      <c r="AN57" s="149">
        <f t="shared" si="32"/>
        <v>352767.74800000014</v>
      </c>
      <c r="AO57" s="149">
        <v>2263028.7480000001</v>
      </c>
      <c r="AP57" s="149">
        <f t="shared" si="33"/>
        <v>67890862.439999998</v>
      </c>
      <c r="AQ57" s="149">
        <v>9000000</v>
      </c>
      <c r="AR57" s="149">
        <f t="shared" si="34"/>
        <v>0</v>
      </c>
      <c r="AS57" s="149">
        <v>11000000</v>
      </c>
      <c r="AT57" s="149">
        <f t="shared" si="35"/>
        <v>20000000</v>
      </c>
      <c r="AU57" s="149">
        <f t="shared" si="36"/>
        <v>87890862.439999998</v>
      </c>
      <c r="AV57" s="75"/>
      <c r="AW57" s="161" t="s">
        <v>370</v>
      </c>
      <c r="AX57" s="161" t="s">
        <v>371</v>
      </c>
      <c r="AY57" s="162" t="s">
        <v>80</v>
      </c>
      <c r="AZ57" s="162"/>
    </row>
    <row r="58" spans="1:52" s="130" customFormat="1" x14ac:dyDescent="0.55000000000000004">
      <c r="A58" s="153">
        <v>1411</v>
      </c>
      <c r="B58" s="153">
        <v>6</v>
      </c>
      <c r="C58" s="154" t="s">
        <v>372</v>
      </c>
      <c r="D58" s="155" t="s">
        <v>373</v>
      </c>
      <c r="E58" s="128">
        <v>1</v>
      </c>
      <c r="F58" s="127" t="str">
        <f t="shared" si="31"/>
        <v>مرد</v>
      </c>
      <c r="G58" s="127" t="s">
        <v>138</v>
      </c>
      <c r="H58" s="129"/>
      <c r="I58" s="127"/>
      <c r="J58" s="127"/>
      <c r="K58" s="129"/>
      <c r="L58" s="129"/>
      <c r="M58" s="129">
        <v>1590113888</v>
      </c>
      <c r="N58" s="127"/>
      <c r="O58" s="127"/>
      <c r="P58" s="142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7">
        <v>1</v>
      </c>
      <c r="AC58" s="147"/>
      <c r="AD58" s="147"/>
      <c r="AE58" s="147"/>
      <c r="AF58" s="147" t="s">
        <v>374</v>
      </c>
      <c r="AG58" s="148" t="s">
        <v>256</v>
      </c>
      <c r="AH58" s="149">
        <v>6</v>
      </c>
      <c r="AI58" s="149"/>
      <c r="AJ58" s="149"/>
      <c r="AK58" s="149"/>
      <c r="AL58" s="149">
        <v>1790351</v>
      </c>
      <c r="AM58" s="149">
        <v>71000</v>
      </c>
      <c r="AN58" s="149">
        <f t="shared" si="32"/>
        <v>270823.2620000001</v>
      </c>
      <c r="AO58" s="149">
        <v>2132174.2620000001</v>
      </c>
      <c r="AP58" s="149">
        <f t="shared" si="33"/>
        <v>63965227.859999999</v>
      </c>
      <c r="AQ58" s="149">
        <v>9000000</v>
      </c>
      <c r="AR58" s="149">
        <f t="shared" si="34"/>
        <v>5308284</v>
      </c>
      <c r="AS58" s="149">
        <v>11000000</v>
      </c>
      <c r="AT58" s="149">
        <f t="shared" si="35"/>
        <v>25308284</v>
      </c>
      <c r="AU58" s="149">
        <f t="shared" si="36"/>
        <v>89273511.859999999</v>
      </c>
      <c r="AV58" s="75"/>
      <c r="AW58" s="161" t="s">
        <v>370</v>
      </c>
      <c r="AX58" s="161" t="s">
        <v>371</v>
      </c>
      <c r="AY58" s="162" t="s">
        <v>375</v>
      </c>
      <c r="AZ58" s="162" t="s">
        <v>358</v>
      </c>
    </row>
    <row r="59" spans="1:52" s="130" customFormat="1" x14ac:dyDescent="0.55000000000000004">
      <c r="A59" s="153">
        <v>1414</v>
      </c>
      <c r="B59" s="153">
        <v>7</v>
      </c>
      <c r="C59" s="154" t="s">
        <v>376</v>
      </c>
      <c r="D59" s="155" t="s">
        <v>377</v>
      </c>
      <c r="E59" s="128">
        <v>1</v>
      </c>
      <c r="F59" s="127" t="str">
        <f t="shared" si="31"/>
        <v>مرد</v>
      </c>
      <c r="G59" s="127" t="s">
        <v>171</v>
      </c>
      <c r="H59" s="129"/>
      <c r="I59" s="127"/>
      <c r="J59" s="127"/>
      <c r="K59" s="129"/>
      <c r="L59" s="129"/>
      <c r="M59" s="129">
        <v>4391840707</v>
      </c>
      <c r="N59" s="127"/>
      <c r="O59" s="127"/>
      <c r="P59" s="142"/>
      <c r="Q59" s="143"/>
      <c r="R59" s="143"/>
      <c r="S59" s="143"/>
      <c r="T59" s="143"/>
      <c r="U59" s="143"/>
      <c r="V59" s="143"/>
      <c r="W59" s="143"/>
      <c r="X59" s="143"/>
      <c r="Y59" s="143"/>
      <c r="Z59" s="143"/>
      <c r="AA59" s="143"/>
      <c r="AB59" s="147">
        <v>2</v>
      </c>
      <c r="AC59" s="147"/>
      <c r="AD59" s="147"/>
      <c r="AE59" s="147"/>
      <c r="AF59" s="147" t="s">
        <v>374</v>
      </c>
      <c r="AG59" s="148" t="s">
        <v>256</v>
      </c>
      <c r="AH59" s="149">
        <v>6</v>
      </c>
      <c r="AI59" s="149"/>
      <c r="AJ59" s="149"/>
      <c r="AK59" s="149"/>
      <c r="AL59" s="149">
        <v>1790351</v>
      </c>
      <c r="AM59" s="149">
        <v>71000</v>
      </c>
      <c r="AN59" s="149">
        <f t="shared" si="32"/>
        <v>476112.8703333335</v>
      </c>
      <c r="AO59" s="149">
        <v>2337463.8703333335</v>
      </c>
      <c r="AP59" s="149">
        <f t="shared" si="33"/>
        <v>70123916.109999999</v>
      </c>
      <c r="AQ59" s="149">
        <v>9000000</v>
      </c>
      <c r="AR59" s="149">
        <f t="shared" si="34"/>
        <v>10616568</v>
      </c>
      <c r="AS59" s="149">
        <v>11000000</v>
      </c>
      <c r="AT59" s="149">
        <f t="shared" si="35"/>
        <v>30616568</v>
      </c>
      <c r="AU59" s="149">
        <f t="shared" si="36"/>
        <v>100740484.11</v>
      </c>
      <c r="AV59" s="75"/>
      <c r="AW59" s="161" t="s">
        <v>370</v>
      </c>
      <c r="AX59" s="161" t="s">
        <v>371</v>
      </c>
      <c r="AY59" s="162" t="s">
        <v>375</v>
      </c>
      <c r="AZ59" s="162" t="s">
        <v>358</v>
      </c>
    </row>
    <row r="60" spans="1:52" s="130" customFormat="1" x14ac:dyDescent="0.55000000000000004">
      <c r="A60" s="153">
        <v>1415</v>
      </c>
      <c r="B60" s="153">
        <v>8</v>
      </c>
      <c r="C60" s="154" t="s">
        <v>378</v>
      </c>
      <c r="D60" s="155" t="s">
        <v>377</v>
      </c>
      <c r="E60" s="128">
        <v>1</v>
      </c>
      <c r="F60" s="127" t="str">
        <f t="shared" si="31"/>
        <v>مرد</v>
      </c>
      <c r="G60" s="127" t="s">
        <v>171</v>
      </c>
      <c r="H60" s="129"/>
      <c r="I60" s="127"/>
      <c r="J60" s="127"/>
      <c r="K60" s="129"/>
      <c r="L60" s="129"/>
      <c r="M60" s="129">
        <v>4391799797</v>
      </c>
      <c r="N60" s="127"/>
      <c r="O60" s="127"/>
      <c r="P60" s="142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7">
        <v>2</v>
      </c>
      <c r="AC60" s="147"/>
      <c r="AD60" s="147"/>
      <c r="AE60" s="147"/>
      <c r="AF60" s="147" t="s">
        <v>374</v>
      </c>
      <c r="AG60" s="148" t="s">
        <v>256</v>
      </c>
      <c r="AH60" s="149">
        <v>6</v>
      </c>
      <c r="AI60" s="149"/>
      <c r="AJ60" s="149"/>
      <c r="AK60" s="149"/>
      <c r="AL60" s="149">
        <v>1790351</v>
      </c>
      <c r="AM60" s="149">
        <v>71000</v>
      </c>
      <c r="AN60" s="149">
        <f t="shared" si="32"/>
        <v>460962.09733333346</v>
      </c>
      <c r="AO60" s="149">
        <v>2322313.0973333335</v>
      </c>
      <c r="AP60" s="149">
        <f t="shared" si="33"/>
        <v>69669392.920000002</v>
      </c>
      <c r="AQ60" s="149">
        <v>9000000</v>
      </c>
      <c r="AR60" s="149">
        <f t="shared" si="34"/>
        <v>10616568</v>
      </c>
      <c r="AS60" s="149">
        <v>11000000</v>
      </c>
      <c r="AT60" s="149">
        <f t="shared" si="35"/>
        <v>30616568</v>
      </c>
      <c r="AU60" s="149">
        <f t="shared" si="36"/>
        <v>100285960.92</v>
      </c>
      <c r="AV60" s="75"/>
      <c r="AW60" s="161" t="s">
        <v>370</v>
      </c>
      <c r="AX60" s="161" t="s">
        <v>371</v>
      </c>
      <c r="AY60" s="162" t="s">
        <v>375</v>
      </c>
      <c r="AZ60" s="162" t="s">
        <v>358</v>
      </c>
    </row>
    <row r="61" spans="1:52" s="130" customFormat="1" x14ac:dyDescent="0.55000000000000004">
      <c r="A61" s="153">
        <v>1421</v>
      </c>
      <c r="B61" s="153">
        <v>9</v>
      </c>
      <c r="C61" s="154" t="s">
        <v>379</v>
      </c>
      <c r="D61" s="155" t="s">
        <v>380</v>
      </c>
      <c r="E61" s="128">
        <v>1</v>
      </c>
      <c r="F61" s="127" t="str">
        <f t="shared" si="31"/>
        <v>مرد</v>
      </c>
      <c r="G61" s="127" t="s">
        <v>381</v>
      </c>
      <c r="H61" s="129"/>
      <c r="I61" s="127"/>
      <c r="J61" s="127"/>
      <c r="K61" s="129"/>
      <c r="L61" s="129"/>
      <c r="M61" s="129">
        <v>4372462638</v>
      </c>
      <c r="N61" s="127"/>
      <c r="O61" s="127"/>
      <c r="P61" s="142"/>
      <c r="Q61" s="143"/>
      <c r="R61" s="143"/>
      <c r="S61" s="143"/>
      <c r="T61" s="143"/>
      <c r="U61" s="143"/>
      <c r="V61" s="143"/>
      <c r="W61" s="143"/>
      <c r="X61" s="143"/>
      <c r="Y61" s="143"/>
      <c r="Z61" s="143"/>
      <c r="AA61" s="143"/>
      <c r="AB61" s="147">
        <v>2</v>
      </c>
      <c r="AC61" s="147"/>
      <c r="AD61" s="147"/>
      <c r="AE61" s="147"/>
      <c r="AF61" s="147" t="s">
        <v>382</v>
      </c>
      <c r="AG61" s="148" t="s">
        <v>230</v>
      </c>
      <c r="AH61" s="149">
        <v>2</v>
      </c>
      <c r="AI61" s="149"/>
      <c r="AJ61" s="149"/>
      <c r="AK61" s="149"/>
      <c r="AL61" s="149">
        <v>1773348</v>
      </c>
      <c r="AM61" s="149">
        <v>70200</v>
      </c>
      <c r="AN61" s="149">
        <f t="shared" si="32"/>
        <v>287826.2620000001</v>
      </c>
      <c r="AO61" s="149">
        <v>2131374.2620000001</v>
      </c>
      <c r="AP61" s="149">
        <f t="shared" si="33"/>
        <v>63941227.859999999</v>
      </c>
      <c r="AQ61" s="149">
        <v>9000000</v>
      </c>
      <c r="AR61" s="149">
        <f t="shared" si="34"/>
        <v>10616568</v>
      </c>
      <c r="AS61" s="149">
        <v>11000000</v>
      </c>
      <c r="AT61" s="149">
        <f t="shared" si="35"/>
        <v>30616568</v>
      </c>
      <c r="AU61" s="149">
        <f t="shared" si="36"/>
        <v>94557795.859999999</v>
      </c>
      <c r="AV61" s="75"/>
      <c r="AW61" s="161" t="s">
        <v>370</v>
      </c>
      <c r="AX61" s="161" t="s">
        <v>371</v>
      </c>
      <c r="AY61" s="162" t="s">
        <v>382</v>
      </c>
      <c r="AZ61" s="162"/>
    </row>
    <row r="62" spans="1:52" s="130" customFormat="1" x14ac:dyDescent="0.55000000000000004">
      <c r="A62" s="153">
        <v>1431</v>
      </c>
      <c r="B62" s="153">
        <v>10</v>
      </c>
      <c r="C62" s="154" t="s">
        <v>383</v>
      </c>
      <c r="D62" s="155" t="s">
        <v>384</v>
      </c>
      <c r="E62" s="128">
        <v>1</v>
      </c>
      <c r="F62" s="127" t="str">
        <f t="shared" si="31"/>
        <v>مرد</v>
      </c>
      <c r="G62" s="127" t="s">
        <v>385</v>
      </c>
      <c r="H62" s="129"/>
      <c r="I62" s="127"/>
      <c r="J62" s="127"/>
      <c r="K62" s="129"/>
      <c r="L62" s="129"/>
      <c r="M62" s="129">
        <v>4391326337</v>
      </c>
      <c r="N62" s="127"/>
      <c r="O62" s="127"/>
      <c r="P62" s="142"/>
      <c r="Q62" s="143"/>
      <c r="R62" s="143"/>
      <c r="S62" s="143"/>
      <c r="T62" s="143"/>
      <c r="U62" s="143"/>
      <c r="V62" s="143"/>
      <c r="W62" s="143"/>
      <c r="X62" s="143"/>
      <c r="Y62" s="143"/>
      <c r="Z62" s="143"/>
      <c r="AA62" s="143"/>
      <c r="AB62" s="147">
        <v>1</v>
      </c>
      <c r="AC62" s="147"/>
      <c r="AD62" s="147"/>
      <c r="AE62" s="147"/>
      <c r="AF62" s="147" t="s">
        <v>386</v>
      </c>
      <c r="AG62" s="148" t="s">
        <v>387</v>
      </c>
      <c r="AH62" s="149" t="s">
        <v>388</v>
      </c>
      <c r="AI62" s="149"/>
      <c r="AJ62" s="149"/>
      <c r="AK62" s="149"/>
      <c r="AL62" s="149">
        <v>1795587</v>
      </c>
      <c r="AM62" s="149">
        <v>71200</v>
      </c>
      <c r="AN62" s="149">
        <f t="shared" si="32"/>
        <v>470876.8703333335</v>
      </c>
      <c r="AO62" s="149">
        <v>2337663.8703333335</v>
      </c>
      <c r="AP62" s="149">
        <f t="shared" si="33"/>
        <v>70129916.109999999</v>
      </c>
      <c r="AQ62" s="149">
        <v>9000000</v>
      </c>
      <c r="AR62" s="149">
        <f t="shared" si="34"/>
        <v>5308284</v>
      </c>
      <c r="AS62" s="149">
        <v>11000000</v>
      </c>
      <c r="AT62" s="149">
        <f t="shared" si="35"/>
        <v>25308284</v>
      </c>
      <c r="AU62" s="149">
        <f t="shared" si="36"/>
        <v>95438200.109999999</v>
      </c>
      <c r="AV62" s="75"/>
      <c r="AW62" s="161" t="s">
        <v>370</v>
      </c>
      <c r="AX62" s="161" t="s">
        <v>371</v>
      </c>
      <c r="AY62" s="162" t="s">
        <v>389</v>
      </c>
      <c r="AZ62" s="162"/>
    </row>
    <row r="63" spans="1:52" s="130" customFormat="1" x14ac:dyDescent="0.55000000000000004">
      <c r="A63" s="153">
        <v>1436</v>
      </c>
      <c r="B63" s="153">
        <v>11</v>
      </c>
      <c r="C63" s="154" t="s">
        <v>118</v>
      </c>
      <c r="D63" s="155" t="s">
        <v>33</v>
      </c>
      <c r="E63" s="128">
        <v>1</v>
      </c>
      <c r="F63" s="127" t="str">
        <f t="shared" si="31"/>
        <v>مرد</v>
      </c>
      <c r="G63" s="127" t="s">
        <v>390</v>
      </c>
      <c r="H63" s="129"/>
      <c r="I63" s="127"/>
      <c r="J63" s="127"/>
      <c r="K63" s="129"/>
      <c r="L63" s="129"/>
      <c r="M63" s="129">
        <v>4391204551</v>
      </c>
      <c r="N63" s="127"/>
      <c r="O63" s="127"/>
      <c r="P63" s="142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7">
        <v>0</v>
      </c>
      <c r="AC63" s="147"/>
      <c r="AD63" s="147"/>
      <c r="AE63" s="147"/>
      <c r="AF63" s="147" t="s">
        <v>374</v>
      </c>
      <c r="AG63" s="148" t="s">
        <v>256</v>
      </c>
      <c r="AH63" s="149">
        <v>6</v>
      </c>
      <c r="AI63" s="149"/>
      <c r="AJ63" s="149"/>
      <c r="AK63" s="149"/>
      <c r="AL63" s="149">
        <v>1790351</v>
      </c>
      <c r="AM63" s="149">
        <v>71000</v>
      </c>
      <c r="AN63" s="149">
        <f t="shared" si="32"/>
        <v>366073.09066666663</v>
      </c>
      <c r="AO63" s="149">
        <v>2227424.0906666666</v>
      </c>
      <c r="AP63" s="149">
        <f t="shared" si="33"/>
        <v>66822722.719999999</v>
      </c>
      <c r="AQ63" s="149">
        <v>9000000</v>
      </c>
      <c r="AR63" s="149">
        <f t="shared" si="34"/>
        <v>0</v>
      </c>
      <c r="AS63" s="149">
        <v>11000000</v>
      </c>
      <c r="AT63" s="149">
        <f t="shared" si="35"/>
        <v>20000000</v>
      </c>
      <c r="AU63" s="149">
        <f t="shared" si="36"/>
        <v>86822722.719999999</v>
      </c>
      <c r="AV63" s="75"/>
      <c r="AW63" s="161" t="s">
        <v>370</v>
      </c>
      <c r="AX63" s="161" t="s">
        <v>391</v>
      </c>
      <c r="AY63" s="162" t="s">
        <v>375</v>
      </c>
      <c r="AZ63" s="162" t="s">
        <v>358</v>
      </c>
    </row>
    <row r="64" spans="1:52" s="130" customFormat="1" x14ac:dyDescent="0.55000000000000004">
      <c r="A64" s="153">
        <v>1448</v>
      </c>
      <c r="B64" s="153">
        <v>12</v>
      </c>
      <c r="C64" s="154" t="s">
        <v>392</v>
      </c>
      <c r="D64" s="155" t="s">
        <v>393</v>
      </c>
      <c r="E64" s="128">
        <v>1</v>
      </c>
      <c r="F64" s="127" t="str">
        <f t="shared" si="31"/>
        <v>مرد</v>
      </c>
      <c r="G64" s="127" t="s">
        <v>63</v>
      </c>
      <c r="H64" s="129"/>
      <c r="I64" s="127"/>
      <c r="J64" s="127"/>
      <c r="K64" s="129"/>
      <c r="L64" s="129"/>
      <c r="M64" s="129">
        <v>3761113390</v>
      </c>
      <c r="N64" s="127"/>
      <c r="O64" s="127"/>
      <c r="P64" s="142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7">
        <v>3</v>
      </c>
      <c r="AC64" s="147"/>
      <c r="AD64" s="147"/>
      <c r="AE64" s="147"/>
      <c r="AF64" s="147" t="s">
        <v>394</v>
      </c>
      <c r="AG64" s="148" t="s">
        <v>249</v>
      </c>
      <c r="AH64" s="149">
        <v>2</v>
      </c>
      <c r="AI64" s="149"/>
      <c r="AJ64" s="149"/>
      <c r="AK64" s="149"/>
      <c r="AL64" s="149">
        <v>1773348</v>
      </c>
      <c r="AM64" s="149">
        <v>70200</v>
      </c>
      <c r="AN64" s="149">
        <f t="shared" si="32"/>
        <v>493115.8703333335</v>
      </c>
      <c r="AO64" s="149">
        <v>2336663.8703333335</v>
      </c>
      <c r="AP64" s="149">
        <f t="shared" si="33"/>
        <v>70099916.109999999</v>
      </c>
      <c r="AQ64" s="149">
        <v>9000000</v>
      </c>
      <c r="AR64" s="149">
        <f t="shared" si="34"/>
        <v>15924852</v>
      </c>
      <c r="AS64" s="149">
        <v>11000000</v>
      </c>
      <c r="AT64" s="149">
        <f t="shared" si="35"/>
        <v>35924852</v>
      </c>
      <c r="AU64" s="149">
        <f t="shared" si="36"/>
        <v>106024768.11</v>
      </c>
      <c r="AV64" s="75"/>
      <c r="AW64" s="161" t="s">
        <v>370</v>
      </c>
      <c r="AX64" s="161" t="s">
        <v>371</v>
      </c>
      <c r="AY64" s="162" t="s">
        <v>395</v>
      </c>
      <c r="AZ64" s="162" t="s">
        <v>358</v>
      </c>
    </row>
    <row r="65" spans="1:52" s="130" customFormat="1" x14ac:dyDescent="0.55000000000000004">
      <c r="A65" s="153">
        <v>1449</v>
      </c>
      <c r="B65" s="153">
        <v>13</v>
      </c>
      <c r="C65" s="154" t="s">
        <v>396</v>
      </c>
      <c r="D65" s="155" t="s">
        <v>397</v>
      </c>
      <c r="E65" s="128">
        <v>1</v>
      </c>
      <c r="F65" s="127" t="str">
        <f t="shared" si="31"/>
        <v>مرد</v>
      </c>
      <c r="G65" s="127" t="s">
        <v>398</v>
      </c>
      <c r="H65" s="129"/>
      <c r="I65" s="127"/>
      <c r="J65" s="127"/>
      <c r="K65" s="129"/>
      <c r="L65" s="129"/>
      <c r="M65" s="129">
        <v>4390349198</v>
      </c>
      <c r="N65" s="127"/>
      <c r="O65" s="127"/>
      <c r="P65" s="142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7">
        <v>2</v>
      </c>
      <c r="AC65" s="147"/>
      <c r="AD65" s="147"/>
      <c r="AE65" s="147"/>
      <c r="AF65" s="147" t="s">
        <v>382</v>
      </c>
      <c r="AG65" s="148" t="s">
        <v>230</v>
      </c>
      <c r="AH65" s="149">
        <v>2</v>
      </c>
      <c r="AI65" s="149"/>
      <c r="AJ65" s="149"/>
      <c r="AK65" s="149"/>
      <c r="AL65" s="149">
        <v>1773348</v>
      </c>
      <c r="AM65" s="149">
        <v>70200</v>
      </c>
      <c r="AN65" s="149">
        <f t="shared" si="32"/>
        <v>228831.38100000005</v>
      </c>
      <c r="AO65" s="149">
        <v>2072379.3810000001</v>
      </c>
      <c r="AP65" s="149">
        <f t="shared" si="33"/>
        <v>62171381.43</v>
      </c>
      <c r="AQ65" s="149">
        <v>9000000</v>
      </c>
      <c r="AR65" s="149">
        <f t="shared" si="34"/>
        <v>10616568</v>
      </c>
      <c r="AS65" s="149">
        <v>11000000</v>
      </c>
      <c r="AT65" s="149">
        <f t="shared" si="35"/>
        <v>30616568</v>
      </c>
      <c r="AU65" s="149">
        <f t="shared" si="36"/>
        <v>92787949.430000007</v>
      </c>
      <c r="AV65" s="75"/>
      <c r="AW65" s="161" t="s">
        <v>370</v>
      </c>
      <c r="AX65" s="161" t="s">
        <v>371</v>
      </c>
      <c r="AY65" s="162" t="s">
        <v>382</v>
      </c>
      <c r="AZ65" s="162"/>
    </row>
    <row r="66" spans="1:52" s="130" customFormat="1" x14ac:dyDescent="0.55000000000000004">
      <c r="A66" s="153">
        <v>1401</v>
      </c>
      <c r="B66" s="153">
        <v>14</v>
      </c>
      <c r="C66" s="154" t="s">
        <v>302</v>
      </c>
      <c r="D66" s="155" t="s">
        <v>368</v>
      </c>
      <c r="E66" s="128">
        <v>1</v>
      </c>
      <c r="F66" s="127" t="str">
        <f t="shared" si="31"/>
        <v>مرد</v>
      </c>
      <c r="G66" s="127" t="s">
        <v>399</v>
      </c>
      <c r="H66" s="129"/>
      <c r="I66" s="127"/>
      <c r="J66" s="127"/>
      <c r="K66" s="129"/>
      <c r="L66" s="129"/>
      <c r="M66" s="129">
        <v>4324690731</v>
      </c>
      <c r="N66" s="127"/>
      <c r="O66" s="127"/>
      <c r="P66" s="142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7">
        <v>1</v>
      </c>
      <c r="AC66" s="147"/>
      <c r="AD66" s="147"/>
      <c r="AE66" s="147"/>
      <c r="AF66" s="147" t="s">
        <v>153</v>
      </c>
      <c r="AG66" s="148" t="s">
        <v>256</v>
      </c>
      <c r="AH66" s="149">
        <v>6</v>
      </c>
      <c r="AI66" s="149"/>
      <c r="AJ66" s="149"/>
      <c r="AK66" s="149"/>
      <c r="AL66" s="149">
        <v>1790351</v>
      </c>
      <c r="AM66" s="149">
        <v>71000</v>
      </c>
      <c r="AN66" s="149">
        <f t="shared" si="32"/>
        <v>476112.8703333335</v>
      </c>
      <c r="AO66" s="149">
        <v>2337463.8703333335</v>
      </c>
      <c r="AP66" s="149">
        <f t="shared" si="33"/>
        <v>70123916.109999999</v>
      </c>
      <c r="AQ66" s="149">
        <v>9000000</v>
      </c>
      <c r="AR66" s="149">
        <f t="shared" si="34"/>
        <v>5308284</v>
      </c>
      <c r="AS66" s="149">
        <v>11000000</v>
      </c>
      <c r="AT66" s="149">
        <f t="shared" si="35"/>
        <v>25308284</v>
      </c>
      <c r="AU66" s="149">
        <f t="shared" si="36"/>
        <v>95432200.109999999</v>
      </c>
      <c r="AV66" s="75"/>
      <c r="AW66" s="161" t="s">
        <v>400</v>
      </c>
      <c r="AX66" s="161" t="s">
        <v>401</v>
      </c>
      <c r="AY66" s="162" t="s">
        <v>153</v>
      </c>
      <c r="AZ66" s="162" t="s">
        <v>358</v>
      </c>
    </row>
    <row r="67" spans="1:52" s="130" customFormat="1" x14ac:dyDescent="0.55000000000000004">
      <c r="A67" s="153">
        <v>1403</v>
      </c>
      <c r="B67" s="153">
        <v>15</v>
      </c>
      <c r="C67" s="154" t="s">
        <v>402</v>
      </c>
      <c r="D67" s="155" t="s">
        <v>403</v>
      </c>
      <c r="E67" s="128">
        <v>1</v>
      </c>
      <c r="F67" s="127" t="str">
        <f t="shared" si="31"/>
        <v>مرد</v>
      </c>
      <c r="G67" s="127" t="s">
        <v>404</v>
      </c>
      <c r="H67" s="129"/>
      <c r="I67" s="127"/>
      <c r="J67" s="127"/>
      <c r="K67" s="129"/>
      <c r="L67" s="129"/>
      <c r="M67" s="129">
        <v>5099822274</v>
      </c>
      <c r="N67" s="127"/>
      <c r="O67" s="127"/>
      <c r="P67" s="142"/>
      <c r="Q67" s="143"/>
      <c r="R67" s="143"/>
      <c r="S67" s="143"/>
      <c r="T67" s="143"/>
      <c r="U67" s="143"/>
      <c r="V67" s="143"/>
      <c r="W67" s="143"/>
      <c r="X67" s="143"/>
      <c r="Y67" s="143"/>
      <c r="Z67" s="143"/>
      <c r="AA67" s="143"/>
      <c r="AB67" s="147">
        <v>1</v>
      </c>
      <c r="AC67" s="147"/>
      <c r="AD67" s="147"/>
      <c r="AE67" s="147"/>
      <c r="AF67" s="147" t="s">
        <v>153</v>
      </c>
      <c r="AG67" s="148" t="s">
        <v>256</v>
      </c>
      <c r="AH67" s="149">
        <v>6</v>
      </c>
      <c r="AI67" s="149"/>
      <c r="AJ67" s="149"/>
      <c r="AK67" s="149"/>
      <c r="AL67" s="149">
        <v>1790351</v>
      </c>
      <c r="AM67" s="149">
        <v>71000</v>
      </c>
      <c r="AN67" s="149">
        <f t="shared" si="32"/>
        <v>399877.74800000014</v>
      </c>
      <c r="AO67" s="149">
        <v>2261228.7480000001</v>
      </c>
      <c r="AP67" s="149">
        <f t="shared" si="33"/>
        <v>67836862.439999998</v>
      </c>
      <c r="AQ67" s="149">
        <v>9000000</v>
      </c>
      <c r="AR67" s="149">
        <f t="shared" si="34"/>
        <v>5308284</v>
      </c>
      <c r="AS67" s="149">
        <v>11000000</v>
      </c>
      <c r="AT67" s="149">
        <f t="shared" si="35"/>
        <v>25308284</v>
      </c>
      <c r="AU67" s="149">
        <f t="shared" si="36"/>
        <v>93145146.439999998</v>
      </c>
      <c r="AV67" s="75"/>
      <c r="AW67" s="161" t="s">
        <v>400</v>
      </c>
      <c r="AX67" s="161" t="s">
        <v>401</v>
      </c>
      <c r="AY67" s="162" t="s">
        <v>153</v>
      </c>
      <c r="AZ67" s="162" t="s">
        <v>358</v>
      </c>
    </row>
    <row r="68" spans="1:52" s="130" customFormat="1" x14ac:dyDescent="0.55000000000000004">
      <c r="A68" s="153">
        <v>1405</v>
      </c>
      <c r="B68" s="153">
        <v>16</v>
      </c>
      <c r="C68" s="154" t="s">
        <v>171</v>
      </c>
      <c r="D68" s="155" t="s">
        <v>405</v>
      </c>
      <c r="E68" s="128">
        <v>1</v>
      </c>
      <c r="F68" s="127" t="str">
        <f t="shared" si="31"/>
        <v>مرد</v>
      </c>
      <c r="G68" s="127" t="s">
        <v>406</v>
      </c>
      <c r="H68" s="129"/>
      <c r="I68" s="127"/>
      <c r="J68" s="127"/>
      <c r="K68" s="129"/>
      <c r="L68" s="129"/>
      <c r="M68" s="129">
        <v>4322912362</v>
      </c>
      <c r="N68" s="127"/>
      <c r="O68" s="127"/>
      <c r="P68" s="142"/>
      <c r="Q68" s="143"/>
      <c r="R68" s="143"/>
      <c r="S68" s="143"/>
      <c r="T68" s="143"/>
      <c r="U68" s="143"/>
      <c r="V68" s="143"/>
      <c r="W68" s="143"/>
      <c r="X68" s="143"/>
      <c r="Y68" s="143"/>
      <c r="Z68" s="143"/>
      <c r="AA68" s="143"/>
      <c r="AB68" s="147">
        <v>1</v>
      </c>
      <c r="AC68" s="147"/>
      <c r="AD68" s="147"/>
      <c r="AE68" s="147"/>
      <c r="AF68" s="147" t="s">
        <v>407</v>
      </c>
      <c r="AG68" s="148" t="s">
        <v>246</v>
      </c>
      <c r="AH68" s="149">
        <v>4</v>
      </c>
      <c r="AI68" s="149"/>
      <c r="AJ68" s="149"/>
      <c r="AK68" s="149"/>
      <c r="AL68" s="149">
        <v>1781198</v>
      </c>
      <c r="AM68" s="149">
        <v>70600</v>
      </c>
      <c r="AN68" s="149">
        <f t="shared" si="32"/>
        <v>323913.98366666678</v>
      </c>
      <c r="AO68" s="149">
        <v>2175711.9836666668</v>
      </c>
      <c r="AP68" s="149">
        <f t="shared" si="33"/>
        <v>65271359.510000005</v>
      </c>
      <c r="AQ68" s="149">
        <v>9000000</v>
      </c>
      <c r="AR68" s="149">
        <f t="shared" si="34"/>
        <v>5308284</v>
      </c>
      <c r="AS68" s="149">
        <v>11000000</v>
      </c>
      <c r="AT68" s="149">
        <f t="shared" si="35"/>
        <v>25308284</v>
      </c>
      <c r="AU68" s="149">
        <f t="shared" si="36"/>
        <v>90579643.510000005</v>
      </c>
      <c r="AV68" s="75"/>
      <c r="AW68" s="161" t="s">
        <v>400</v>
      </c>
      <c r="AX68" s="161" t="s">
        <v>401</v>
      </c>
      <c r="AY68" s="162" t="s">
        <v>407</v>
      </c>
      <c r="AZ68" s="162"/>
    </row>
    <row r="69" spans="1:52" s="130" customFormat="1" x14ac:dyDescent="0.55000000000000004">
      <c r="A69" s="153">
        <v>1406</v>
      </c>
      <c r="B69" s="153">
        <v>17</v>
      </c>
      <c r="C69" s="154" t="s">
        <v>186</v>
      </c>
      <c r="D69" s="155" t="s">
        <v>408</v>
      </c>
      <c r="E69" s="128">
        <v>1</v>
      </c>
      <c r="F69" s="127" t="str">
        <f t="shared" si="31"/>
        <v>مرد</v>
      </c>
      <c r="G69" s="127" t="s">
        <v>313</v>
      </c>
      <c r="H69" s="129"/>
      <c r="I69" s="127"/>
      <c r="J69" s="127"/>
      <c r="K69" s="129"/>
      <c r="L69" s="129"/>
      <c r="M69" s="129">
        <v>5099785182</v>
      </c>
      <c r="N69" s="127"/>
      <c r="O69" s="127"/>
      <c r="P69" s="142"/>
      <c r="Q69" s="143"/>
      <c r="R69" s="143"/>
      <c r="S69" s="143"/>
      <c r="T69" s="143"/>
      <c r="U69" s="143"/>
      <c r="V69" s="143"/>
      <c r="W69" s="143"/>
      <c r="X69" s="143"/>
      <c r="Y69" s="143"/>
      <c r="Z69" s="143"/>
      <c r="AA69" s="143"/>
      <c r="AB69" s="147">
        <v>3</v>
      </c>
      <c r="AC69" s="147"/>
      <c r="AD69" s="147"/>
      <c r="AE69" s="147"/>
      <c r="AF69" s="147" t="s">
        <v>91</v>
      </c>
      <c r="AG69" s="148" t="s">
        <v>269</v>
      </c>
      <c r="AH69" s="149">
        <v>7</v>
      </c>
      <c r="AI69" s="149"/>
      <c r="AJ69" s="149"/>
      <c r="AK69" s="149"/>
      <c r="AL69" s="149">
        <v>1795587</v>
      </c>
      <c r="AM69" s="149">
        <v>71200</v>
      </c>
      <c r="AN69" s="149">
        <f t="shared" si="32"/>
        <v>309524.98366666678</v>
      </c>
      <c r="AO69" s="149">
        <v>2176311.9836666668</v>
      </c>
      <c r="AP69" s="149">
        <f t="shared" si="33"/>
        <v>65289359.510000005</v>
      </c>
      <c r="AQ69" s="149">
        <v>9000000</v>
      </c>
      <c r="AR69" s="149">
        <f t="shared" si="34"/>
        <v>15924852</v>
      </c>
      <c r="AS69" s="149">
        <v>11000000</v>
      </c>
      <c r="AT69" s="149">
        <f t="shared" si="35"/>
        <v>35924852</v>
      </c>
      <c r="AU69" s="149">
        <f t="shared" si="36"/>
        <v>101214211.51000001</v>
      </c>
      <c r="AV69" s="75"/>
      <c r="AW69" s="161" t="s">
        <v>400</v>
      </c>
      <c r="AX69" s="161" t="s">
        <v>409</v>
      </c>
      <c r="AY69" s="162" t="s">
        <v>91</v>
      </c>
      <c r="AZ69" s="162"/>
    </row>
    <row r="70" spans="1:52" s="130" customFormat="1" x14ac:dyDescent="0.55000000000000004">
      <c r="A70" s="153">
        <v>1407</v>
      </c>
      <c r="B70" s="153">
        <v>18</v>
      </c>
      <c r="C70" s="154" t="s">
        <v>62</v>
      </c>
      <c r="D70" s="155" t="s">
        <v>410</v>
      </c>
      <c r="E70" s="128">
        <v>1</v>
      </c>
      <c r="F70" s="127" t="str">
        <f t="shared" si="31"/>
        <v>مرد</v>
      </c>
      <c r="G70" s="127" t="s">
        <v>78</v>
      </c>
      <c r="H70" s="129"/>
      <c r="I70" s="127"/>
      <c r="J70" s="127"/>
      <c r="K70" s="129"/>
      <c r="L70" s="129"/>
      <c r="M70" s="129">
        <v>5949626893</v>
      </c>
      <c r="N70" s="127"/>
      <c r="O70" s="127"/>
      <c r="P70" s="142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7">
        <v>0</v>
      </c>
      <c r="AC70" s="147"/>
      <c r="AD70" s="147"/>
      <c r="AE70" s="147"/>
      <c r="AF70" s="147" t="s">
        <v>361</v>
      </c>
      <c r="AG70" s="148" t="s">
        <v>246</v>
      </c>
      <c r="AH70" s="149">
        <v>4</v>
      </c>
      <c r="AI70" s="149"/>
      <c r="AJ70" s="149"/>
      <c r="AK70" s="149"/>
      <c r="AL70" s="149">
        <v>1781198</v>
      </c>
      <c r="AM70" s="149">
        <v>70600</v>
      </c>
      <c r="AN70" s="149">
        <f t="shared" si="32"/>
        <v>447569.61100000003</v>
      </c>
      <c r="AO70" s="149">
        <v>2299367.611</v>
      </c>
      <c r="AP70" s="149">
        <f t="shared" si="33"/>
        <v>68981028.329999998</v>
      </c>
      <c r="AQ70" s="149">
        <v>9000000</v>
      </c>
      <c r="AR70" s="149">
        <f t="shared" si="34"/>
        <v>0</v>
      </c>
      <c r="AS70" s="149">
        <v>11000000</v>
      </c>
      <c r="AT70" s="149">
        <f t="shared" si="35"/>
        <v>20000000</v>
      </c>
      <c r="AU70" s="149">
        <f t="shared" si="36"/>
        <v>88981028.329999998</v>
      </c>
      <c r="AV70" s="75"/>
      <c r="AW70" s="161" t="s">
        <v>400</v>
      </c>
      <c r="AX70" s="161" t="s">
        <v>409</v>
      </c>
      <c r="AY70" s="162" t="s">
        <v>362</v>
      </c>
      <c r="AZ70" s="162"/>
    </row>
    <row r="71" spans="1:52" s="130" customFormat="1" x14ac:dyDescent="0.55000000000000004">
      <c r="A71" s="153">
        <v>1409</v>
      </c>
      <c r="B71" s="153">
        <v>19</v>
      </c>
      <c r="C71" s="154" t="s">
        <v>411</v>
      </c>
      <c r="D71" s="155" t="s">
        <v>412</v>
      </c>
      <c r="E71" s="128">
        <v>2</v>
      </c>
      <c r="F71" s="127" t="str">
        <f t="shared" si="31"/>
        <v>زن</v>
      </c>
      <c r="G71" s="127" t="s">
        <v>413</v>
      </c>
      <c r="H71" s="129"/>
      <c r="I71" s="127"/>
      <c r="J71" s="127"/>
      <c r="K71" s="129"/>
      <c r="L71" s="129"/>
      <c r="M71" s="129">
        <v>5909941178</v>
      </c>
      <c r="N71" s="127"/>
      <c r="O71" s="127"/>
      <c r="P71" s="142"/>
      <c r="Q71" s="143"/>
      <c r="R71" s="143"/>
      <c r="S71" s="143"/>
      <c r="T71" s="143"/>
      <c r="U71" s="143"/>
      <c r="V71" s="143"/>
      <c r="W71" s="143"/>
      <c r="X71" s="143"/>
      <c r="Y71" s="143"/>
      <c r="Z71" s="143"/>
      <c r="AA71" s="143"/>
      <c r="AB71" s="147">
        <v>2</v>
      </c>
      <c r="AC71" s="147"/>
      <c r="AD71" s="147"/>
      <c r="AE71" s="147"/>
      <c r="AF71" s="147" t="s">
        <v>414</v>
      </c>
      <c r="AG71" s="148" t="s">
        <v>415</v>
      </c>
      <c r="AH71" s="149">
        <v>2</v>
      </c>
      <c r="AI71" s="149"/>
      <c r="AJ71" s="149"/>
      <c r="AK71" s="149"/>
      <c r="AL71" s="149">
        <v>1773348</v>
      </c>
      <c r="AM71" s="149">
        <v>70200</v>
      </c>
      <c r="AN71" s="149">
        <f t="shared" si="32"/>
        <v>80776.103666666662</v>
      </c>
      <c r="AO71" s="149">
        <v>1924324.1036666667</v>
      </c>
      <c r="AP71" s="149">
        <f t="shared" si="33"/>
        <v>57729723.109999999</v>
      </c>
      <c r="AQ71" s="149">
        <v>9000000</v>
      </c>
      <c r="AR71" s="149">
        <f t="shared" si="34"/>
        <v>10616568</v>
      </c>
      <c r="AS71" s="149">
        <v>11000000</v>
      </c>
      <c r="AT71" s="149">
        <f t="shared" si="35"/>
        <v>30616568</v>
      </c>
      <c r="AU71" s="149">
        <f t="shared" si="36"/>
        <v>88346291.109999999</v>
      </c>
      <c r="AV71" s="75"/>
      <c r="AW71" s="161" t="s">
        <v>400</v>
      </c>
      <c r="AX71" s="161" t="s">
        <v>409</v>
      </c>
      <c r="AY71" s="162" t="s">
        <v>416</v>
      </c>
      <c r="AZ71" s="162"/>
    </row>
    <row r="72" spans="1:52" s="130" customFormat="1" x14ac:dyDescent="0.55000000000000004">
      <c r="A72" s="153">
        <v>1410</v>
      </c>
      <c r="B72" s="153">
        <v>20</v>
      </c>
      <c r="C72" s="154" t="s">
        <v>31</v>
      </c>
      <c r="D72" s="155" t="s">
        <v>412</v>
      </c>
      <c r="E72" s="128">
        <v>1</v>
      </c>
      <c r="F72" s="127" t="str">
        <f t="shared" si="31"/>
        <v>مرد</v>
      </c>
      <c r="G72" s="127" t="s">
        <v>417</v>
      </c>
      <c r="H72" s="129"/>
      <c r="I72" s="127"/>
      <c r="J72" s="127"/>
      <c r="K72" s="129"/>
      <c r="L72" s="129"/>
      <c r="M72" s="129">
        <v>4310550312</v>
      </c>
      <c r="N72" s="127"/>
      <c r="O72" s="127"/>
      <c r="P72" s="142"/>
      <c r="Q72" s="143"/>
      <c r="R72" s="143"/>
      <c r="S72" s="143"/>
      <c r="T72" s="143"/>
      <c r="U72" s="143"/>
      <c r="V72" s="143"/>
      <c r="W72" s="143"/>
      <c r="X72" s="143"/>
      <c r="Y72" s="143"/>
      <c r="Z72" s="143"/>
      <c r="AA72" s="143"/>
      <c r="AB72" s="147">
        <v>0</v>
      </c>
      <c r="AC72" s="147"/>
      <c r="AD72" s="147"/>
      <c r="AE72" s="147"/>
      <c r="AF72" s="147" t="s">
        <v>418</v>
      </c>
      <c r="AG72" s="148" t="s">
        <v>387</v>
      </c>
      <c r="AH72" s="149" t="s">
        <v>388</v>
      </c>
      <c r="AI72" s="149"/>
      <c r="AJ72" s="149"/>
      <c r="AK72" s="149"/>
      <c r="AL72" s="149">
        <v>1795587</v>
      </c>
      <c r="AM72" s="149">
        <v>71200</v>
      </c>
      <c r="AN72" s="149">
        <f t="shared" si="32"/>
        <v>394641.74800000014</v>
      </c>
      <c r="AO72" s="149">
        <v>2261428.7480000001</v>
      </c>
      <c r="AP72" s="149">
        <f t="shared" si="33"/>
        <v>67842862.439999998</v>
      </c>
      <c r="AQ72" s="149">
        <v>9000000</v>
      </c>
      <c r="AR72" s="149">
        <f t="shared" si="34"/>
        <v>0</v>
      </c>
      <c r="AS72" s="149">
        <v>11000000</v>
      </c>
      <c r="AT72" s="149">
        <f t="shared" si="35"/>
        <v>20000000</v>
      </c>
      <c r="AU72" s="149">
        <f t="shared" si="36"/>
        <v>87842862.439999998</v>
      </c>
      <c r="AV72" s="75"/>
      <c r="AW72" s="161" t="s">
        <v>400</v>
      </c>
      <c r="AX72" s="161" t="s">
        <v>409</v>
      </c>
      <c r="AY72" s="162" t="s">
        <v>419</v>
      </c>
      <c r="AZ72" s="162"/>
    </row>
    <row r="73" spans="1:52" s="130" customFormat="1" x14ac:dyDescent="0.55000000000000004">
      <c r="A73" s="153">
        <v>1412</v>
      </c>
      <c r="B73" s="153">
        <v>21</v>
      </c>
      <c r="C73" s="154" t="s">
        <v>420</v>
      </c>
      <c r="D73" s="155" t="s">
        <v>421</v>
      </c>
      <c r="E73" s="128">
        <v>1</v>
      </c>
      <c r="F73" s="127" t="str">
        <f t="shared" si="31"/>
        <v>مرد</v>
      </c>
      <c r="G73" s="127" t="s">
        <v>63</v>
      </c>
      <c r="H73" s="129"/>
      <c r="I73" s="127"/>
      <c r="J73" s="127"/>
      <c r="K73" s="129"/>
      <c r="L73" s="129"/>
      <c r="M73" s="129">
        <v>5099826504</v>
      </c>
      <c r="N73" s="127"/>
      <c r="O73" s="127"/>
      <c r="P73" s="142"/>
      <c r="Q73" s="143"/>
      <c r="R73" s="143"/>
      <c r="S73" s="143"/>
      <c r="T73" s="143"/>
      <c r="U73" s="143"/>
      <c r="V73" s="143"/>
      <c r="W73" s="143"/>
      <c r="X73" s="143"/>
      <c r="Y73" s="143"/>
      <c r="Z73" s="143"/>
      <c r="AA73" s="143"/>
      <c r="AB73" s="147">
        <v>2</v>
      </c>
      <c r="AC73" s="147"/>
      <c r="AD73" s="147"/>
      <c r="AE73" s="147"/>
      <c r="AF73" s="147" t="s">
        <v>422</v>
      </c>
      <c r="AG73" s="148" t="s">
        <v>246</v>
      </c>
      <c r="AH73" s="149">
        <v>4</v>
      </c>
      <c r="AI73" s="149"/>
      <c r="AJ73" s="149"/>
      <c r="AK73" s="149"/>
      <c r="AL73" s="149">
        <v>1781198</v>
      </c>
      <c r="AM73" s="149">
        <v>70600</v>
      </c>
      <c r="AN73" s="149">
        <f t="shared" si="32"/>
        <v>485265.8703333335</v>
      </c>
      <c r="AO73" s="149">
        <v>2337063.8703333335</v>
      </c>
      <c r="AP73" s="149">
        <f t="shared" si="33"/>
        <v>70111916.109999999</v>
      </c>
      <c r="AQ73" s="149">
        <v>9000000</v>
      </c>
      <c r="AR73" s="149">
        <f t="shared" si="34"/>
        <v>10616568</v>
      </c>
      <c r="AS73" s="149">
        <v>11000000</v>
      </c>
      <c r="AT73" s="149">
        <f t="shared" si="35"/>
        <v>30616568</v>
      </c>
      <c r="AU73" s="149">
        <f t="shared" si="36"/>
        <v>100728484.11</v>
      </c>
      <c r="AV73" s="75"/>
      <c r="AW73" s="161" t="s">
        <v>400</v>
      </c>
      <c r="AX73" s="161" t="s">
        <v>409</v>
      </c>
      <c r="AY73" s="162" t="s">
        <v>423</v>
      </c>
      <c r="AZ73" s="162"/>
    </row>
    <row r="74" spans="1:52" s="130" customFormat="1" x14ac:dyDescent="0.55000000000000004">
      <c r="A74" s="153">
        <v>1413</v>
      </c>
      <c r="B74" s="153">
        <v>22</v>
      </c>
      <c r="C74" s="154" t="s">
        <v>302</v>
      </c>
      <c r="D74" s="155" t="s">
        <v>424</v>
      </c>
      <c r="E74" s="128">
        <v>1</v>
      </c>
      <c r="F74" s="127" t="str">
        <f t="shared" si="31"/>
        <v>مرد</v>
      </c>
      <c r="G74" s="127" t="s">
        <v>425</v>
      </c>
      <c r="H74" s="129"/>
      <c r="I74" s="127"/>
      <c r="J74" s="127"/>
      <c r="K74" s="129"/>
      <c r="L74" s="129"/>
      <c r="M74" s="129">
        <v>5809933653</v>
      </c>
      <c r="N74" s="127"/>
      <c r="O74" s="127"/>
      <c r="P74" s="142"/>
      <c r="Q74" s="143"/>
      <c r="R74" s="143"/>
      <c r="S74" s="143"/>
      <c r="T74" s="143"/>
      <c r="U74" s="143"/>
      <c r="V74" s="143"/>
      <c r="W74" s="143"/>
      <c r="X74" s="143"/>
      <c r="Y74" s="143"/>
      <c r="Z74" s="143"/>
      <c r="AA74" s="143"/>
      <c r="AB74" s="147">
        <v>2</v>
      </c>
      <c r="AC74" s="147"/>
      <c r="AD74" s="147"/>
      <c r="AE74" s="147"/>
      <c r="AF74" s="147" t="s">
        <v>153</v>
      </c>
      <c r="AG74" s="148" t="s">
        <v>256</v>
      </c>
      <c r="AH74" s="149">
        <v>6</v>
      </c>
      <c r="AI74" s="149"/>
      <c r="AJ74" s="149"/>
      <c r="AK74" s="149"/>
      <c r="AL74" s="149">
        <v>1790351</v>
      </c>
      <c r="AM74" s="149">
        <v>71000</v>
      </c>
      <c r="AN74" s="149">
        <f t="shared" si="32"/>
        <v>399877.74800000014</v>
      </c>
      <c r="AO74" s="149">
        <v>2261228.7480000001</v>
      </c>
      <c r="AP74" s="149">
        <f t="shared" si="33"/>
        <v>67836862.439999998</v>
      </c>
      <c r="AQ74" s="149">
        <v>9000000</v>
      </c>
      <c r="AR74" s="149">
        <f t="shared" si="34"/>
        <v>10616568</v>
      </c>
      <c r="AS74" s="149">
        <v>11000000</v>
      </c>
      <c r="AT74" s="149">
        <f t="shared" si="35"/>
        <v>30616568</v>
      </c>
      <c r="AU74" s="149">
        <f t="shared" si="36"/>
        <v>98453430.439999998</v>
      </c>
      <c r="AV74" s="75"/>
      <c r="AW74" s="161" t="s">
        <v>400</v>
      </c>
      <c r="AX74" s="161" t="s">
        <v>401</v>
      </c>
      <c r="AY74" s="162" t="s">
        <v>426</v>
      </c>
      <c r="AZ74" s="162" t="s">
        <v>358</v>
      </c>
    </row>
    <row r="75" spans="1:52" s="130" customFormat="1" x14ac:dyDescent="0.55000000000000004">
      <c r="A75" s="153">
        <v>1418</v>
      </c>
      <c r="B75" s="153">
        <v>23</v>
      </c>
      <c r="C75" s="154" t="s">
        <v>31</v>
      </c>
      <c r="D75" s="155" t="s">
        <v>427</v>
      </c>
      <c r="E75" s="128">
        <v>1</v>
      </c>
      <c r="F75" s="127" t="str">
        <f t="shared" si="31"/>
        <v>مرد</v>
      </c>
      <c r="G75" s="127" t="s">
        <v>428</v>
      </c>
      <c r="H75" s="129"/>
      <c r="I75" s="127"/>
      <c r="J75" s="127"/>
      <c r="K75" s="129"/>
      <c r="L75" s="129"/>
      <c r="M75" s="129">
        <v>5099694527</v>
      </c>
      <c r="N75" s="127"/>
      <c r="O75" s="127"/>
      <c r="P75" s="142"/>
      <c r="Q75" s="143"/>
      <c r="R75" s="143"/>
      <c r="S75" s="143"/>
      <c r="T75" s="143"/>
      <c r="U75" s="143"/>
      <c r="V75" s="143"/>
      <c r="W75" s="143"/>
      <c r="X75" s="143"/>
      <c r="Y75" s="143"/>
      <c r="Z75" s="143"/>
      <c r="AA75" s="143"/>
      <c r="AB75" s="147">
        <v>2</v>
      </c>
      <c r="AC75" s="147"/>
      <c r="AD75" s="147"/>
      <c r="AE75" s="147"/>
      <c r="AF75" s="147" t="s">
        <v>91</v>
      </c>
      <c r="AG75" s="148" t="s">
        <v>269</v>
      </c>
      <c r="AH75" s="149">
        <v>7</v>
      </c>
      <c r="AI75" s="149"/>
      <c r="AJ75" s="149"/>
      <c r="AK75" s="149"/>
      <c r="AL75" s="149">
        <v>1795587</v>
      </c>
      <c r="AM75" s="149">
        <v>71200</v>
      </c>
      <c r="AN75" s="149">
        <f t="shared" si="32"/>
        <v>206592.38100000005</v>
      </c>
      <c r="AO75" s="149">
        <v>2073379.3810000001</v>
      </c>
      <c r="AP75" s="149">
        <f t="shared" si="33"/>
        <v>62201381.43</v>
      </c>
      <c r="AQ75" s="149">
        <v>9000000</v>
      </c>
      <c r="AR75" s="149">
        <f t="shared" si="34"/>
        <v>10616568</v>
      </c>
      <c r="AS75" s="149">
        <v>11000000</v>
      </c>
      <c r="AT75" s="149">
        <f t="shared" si="35"/>
        <v>30616568</v>
      </c>
      <c r="AU75" s="149">
        <f t="shared" si="36"/>
        <v>92817949.430000007</v>
      </c>
      <c r="AV75" s="75"/>
      <c r="AW75" s="161" t="s">
        <v>400</v>
      </c>
      <c r="AX75" s="161" t="s">
        <v>409</v>
      </c>
      <c r="AY75" s="162" t="s">
        <v>91</v>
      </c>
      <c r="AZ75" s="162"/>
    </row>
    <row r="76" spans="1:52" s="130" customFormat="1" x14ac:dyDescent="0.55000000000000004">
      <c r="A76" s="153">
        <v>1419</v>
      </c>
      <c r="B76" s="153">
        <v>24</v>
      </c>
      <c r="C76" s="154" t="s">
        <v>429</v>
      </c>
      <c r="D76" s="155" t="s">
        <v>105</v>
      </c>
      <c r="E76" s="128">
        <v>1</v>
      </c>
      <c r="F76" s="127" t="str">
        <f t="shared" si="31"/>
        <v>مرد</v>
      </c>
      <c r="G76" s="127" t="s">
        <v>430</v>
      </c>
      <c r="H76" s="129"/>
      <c r="I76" s="127"/>
      <c r="J76" s="127"/>
      <c r="K76" s="129"/>
      <c r="L76" s="129"/>
      <c r="M76" s="129">
        <v>4324684081</v>
      </c>
      <c r="N76" s="127"/>
      <c r="O76" s="127"/>
      <c r="P76" s="142"/>
      <c r="Q76" s="143"/>
      <c r="R76" s="143"/>
      <c r="S76" s="143"/>
      <c r="T76" s="143"/>
      <c r="U76" s="143"/>
      <c r="V76" s="143"/>
      <c r="W76" s="143"/>
      <c r="X76" s="143"/>
      <c r="Y76" s="143"/>
      <c r="Z76" s="143"/>
      <c r="AA76" s="143"/>
      <c r="AB76" s="147">
        <v>2</v>
      </c>
      <c r="AC76" s="147"/>
      <c r="AD76" s="147"/>
      <c r="AE76" s="147"/>
      <c r="AF76" s="147" t="s">
        <v>407</v>
      </c>
      <c r="AG76" s="148" t="s">
        <v>246</v>
      </c>
      <c r="AH76" s="149">
        <v>4</v>
      </c>
      <c r="AI76" s="149"/>
      <c r="AJ76" s="149"/>
      <c r="AK76" s="149"/>
      <c r="AL76" s="149">
        <v>1781198</v>
      </c>
      <c r="AM76" s="149">
        <v>70600</v>
      </c>
      <c r="AN76" s="149">
        <f t="shared" si="32"/>
        <v>375226.09066666663</v>
      </c>
      <c r="AO76" s="149">
        <v>2227024.0906666666</v>
      </c>
      <c r="AP76" s="149">
        <f t="shared" si="33"/>
        <v>66810722.719999999</v>
      </c>
      <c r="AQ76" s="149">
        <v>9000000</v>
      </c>
      <c r="AR76" s="149">
        <f t="shared" si="34"/>
        <v>10616568</v>
      </c>
      <c r="AS76" s="149">
        <v>11000000</v>
      </c>
      <c r="AT76" s="149">
        <f t="shared" si="35"/>
        <v>30616568</v>
      </c>
      <c r="AU76" s="149">
        <f t="shared" si="36"/>
        <v>97427290.719999999</v>
      </c>
      <c r="AV76" s="75"/>
      <c r="AW76" s="161" t="s">
        <v>400</v>
      </c>
      <c r="AX76" s="161" t="s">
        <v>431</v>
      </c>
      <c r="AY76" s="162" t="s">
        <v>407</v>
      </c>
      <c r="AZ76" s="162"/>
    </row>
    <row r="77" spans="1:52" s="130" customFormat="1" x14ac:dyDescent="0.55000000000000004">
      <c r="A77" s="153">
        <v>1422</v>
      </c>
      <c r="B77" s="153">
        <v>25</v>
      </c>
      <c r="C77" s="154" t="s">
        <v>140</v>
      </c>
      <c r="D77" s="155" t="s">
        <v>432</v>
      </c>
      <c r="E77" s="128">
        <v>1</v>
      </c>
      <c r="F77" s="127" t="str">
        <f t="shared" si="31"/>
        <v>مرد</v>
      </c>
      <c r="G77" s="127" t="s">
        <v>433</v>
      </c>
      <c r="H77" s="129"/>
      <c r="I77" s="127"/>
      <c r="J77" s="127"/>
      <c r="K77" s="129"/>
      <c r="L77" s="129"/>
      <c r="M77" s="129">
        <v>4323603681</v>
      </c>
      <c r="N77" s="127"/>
      <c r="O77" s="127"/>
      <c r="P77" s="142"/>
      <c r="Q77" s="143"/>
      <c r="R77" s="143"/>
      <c r="S77" s="143"/>
      <c r="T77" s="143"/>
      <c r="U77" s="143"/>
      <c r="V77" s="143"/>
      <c r="W77" s="143"/>
      <c r="X77" s="143"/>
      <c r="Y77" s="143"/>
      <c r="Z77" s="143"/>
      <c r="AA77" s="143"/>
      <c r="AB77" s="147">
        <v>0</v>
      </c>
      <c r="AC77" s="147"/>
      <c r="AD77" s="147"/>
      <c r="AE77" s="147"/>
      <c r="AF77" s="147" t="s">
        <v>153</v>
      </c>
      <c r="AG77" s="148" t="s">
        <v>256</v>
      </c>
      <c r="AH77" s="149">
        <v>6</v>
      </c>
      <c r="AI77" s="149"/>
      <c r="AJ77" s="149"/>
      <c r="AK77" s="149"/>
      <c r="AL77" s="149">
        <v>1790351</v>
      </c>
      <c r="AM77" s="149">
        <v>71000</v>
      </c>
      <c r="AN77" s="149">
        <f t="shared" si="32"/>
        <v>314760.98366666678</v>
      </c>
      <c r="AO77" s="149">
        <v>2176111.9836666668</v>
      </c>
      <c r="AP77" s="149">
        <f t="shared" si="33"/>
        <v>65283359.510000005</v>
      </c>
      <c r="AQ77" s="149">
        <v>9000000</v>
      </c>
      <c r="AR77" s="149">
        <f t="shared" si="34"/>
        <v>0</v>
      </c>
      <c r="AS77" s="149">
        <v>11000000</v>
      </c>
      <c r="AT77" s="149">
        <f t="shared" si="35"/>
        <v>20000000</v>
      </c>
      <c r="AU77" s="149">
        <f t="shared" si="36"/>
        <v>85283359.510000005</v>
      </c>
      <c r="AV77" s="75"/>
      <c r="AW77" s="161" t="s">
        <v>400</v>
      </c>
      <c r="AX77" s="161" t="s">
        <v>401</v>
      </c>
      <c r="AY77" s="162" t="s">
        <v>153</v>
      </c>
      <c r="AZ77" s="162" t="s">
        <v>358</v>
      </c>
    </row>
    <row r="78" spans="1:52" s="130" customFormat="1" x14ac:dyDescent="0.55000000000000004">
      <c r="A78" s="153">
        <v>1423</v>
      </c>
      <c r="B78" s="153">
        <v>26</v>
      </c>
      <c r="C78" s="154" t="s">
        <v>434</v>
      </c>
      <c r="D78" s="155" t="s">
        <v>435</v>
      </c>
      <c r="E78" s="128">
        <v>1</v>
      </c>
      <c r="F78" s="127" t="str">
        <f t="shared" si="31"/>
        <v>مرد</v>
      </c>
      <c r="G78" s="127" t="s">
        <v>436</v>
      </c>
      <c r="H78" s="129"/>
      <c r="I78" s="127"/>
      <c r="J78" s="127"/>
      <c r="K78" s="129"/>
      <c r="L78" s="129"/>
      <c r="M78" s="129">
        <v>5089888744</v>
      </c>
      <c r="N78" s="127"/>
      <c r="O78" s="127"/>
      <c r="P78" s="142"/>
      <c r="Q78" s="143"/>
      <c r="R78" s="143"/>
      <c r="S78" s="143"/>
      <c r="T78" s="143"/>
      <c r="U78" s="143"/>
      <c r="V78" s="143"/>
      <c r="W78" s="143"/>
      <c r="X78" s="143"/>
      <c r="Y78" s="143"/>
      <c r="Z78" s="143"/>
      <c r="AA78" s="143"/>
      <c r="AB78" s="147">
        <v>1</v>
      </c>
      <c r="AC78" s="147"/>
      <c r="AD78" s="147"/>
      <c r="AE78" s="147"/>
      <c r="AF78" s="147" t="s">
        <v>437</v>
      </c>
      <c r="AG78" s="148" t="s">
        <v>387</v>
      </c>
      <c r="AH78" s="149" t="s">
        <v>388</v>
      </c>
      <c r="AI78" s="149"/>
      <c r="AJ78" s="149"/>
      <c r="AK78" s="149"/>
      <c r="AL78" s="149">
        <v>1795587</v>
      </c>
      <c r="AM78" s="149">
        <v>71200</v>
      </c>
      <c r="AN78" s="149">
        <f t="shared" si="32"/>
        <v>433180.61100000003</v>
      </c>
      <c r="AO78" s="149">
        <v>2299967.611</v>
      </c>
      <c r="AP78" s="149">
        <f t="shared" si="33"/>
        <v>68999028.329999998</v>
      </c>
      <c r="AQ78" s="149">
        <v>9000000</v>
      </c>
      <c r="AR78" s="149">
        <f t="shared" si="34"/>
        <v>5308284</v>
      </c>
      <c r="AS78" s="149">
        <v>11000000</v>
      </c>
      <c r="AT78" s="149">
        <f t="shared" si="35"/>
        <v>25308284</v>
      </c>
      <c r="AU78" s="149">
        <f t="shared" si="36"/>
        <v>94307312.329999998</v>
      </c>
      <c r="AV78" s="75"/>
      <c r="AW78" s="161" t="s">
        <v>400</v>
      </c>
      <c r="AX78" s="161" t="s">
        <v>409</v>
      </c>
      <c r="AY78" s="162" t="s">
        <v>438</v>
      </c>
      <c r="AZ78" s="162"/>
    </row>
    <row r="79" spans="1:52" s="130" customFormat="1" x14ac:dyDescent="0.55000000000000004">
      <c r="A79" s="153">
        <v>1424</v>
      </c>
      <c r="B79" s="153">
        <v>27</v>
      </c>
      <c r="C79" s="154" t="s">
        <v>439</v>
      </c>
      <c r="D79" s="155" t="s">
        <v>440</v>
      </c>
      <c r="E79" s="128">
        <v>2</v>
      </c>
      <c r="F79" s="127" t="str">
        <f t="shared" si="31"/>
        <v>زن</v>
      </c>
      <c r="G79" s="127" t="s">
        <v>441</v>
      </c>
      <c r="H79" s="129"/>
      <c r="I79" s="127"/>
      <c r="J79" s="127"/>
      <c r="K79" s="129"/>
      <c r="L79" s="129"/>
      <c r="M79" s="129">
        <v>386586594</v>
      </c>
      <c r="N79" s="127"/>
      <c r="O79" s="127"/>
      <c r="P79" s="142"/>
      <c r="Q79" s="143"/>
      <c r="R79" s="143"/>
      <c r="S79" s="143"/>
      <c r="T79" s="143"/>
      <c r="U79" s="143"/>
      <c r="V79" s="143"/>
      <c r="W79" s="143"/>
      <c r="X79" s="143"/>
      <c r="Y79" s="143"/>
      <c r="Z79" s="143"/>
      <c r="AA79" s="143"/>
      <c r="AB79" s="147">
        <v>0</v>
      </c>
      <c r="AC79" s="147"/>
      <c r="AD79" s="147"/>
      <c r="AE79" s="147"/>
      <c r="AF79" s="147" t="s">
        <v>442</v>
      </c>
      <c r="AG79" s="148" t="s">
        <v>278</v>
      </c>
      <c r="AH79" s="149">
        <v>13</v>
      </c>
      <c r="AI79" s="149"/>
      <c r="AJ79" s="149"/>
      <c r="AK79" s="149"/>
      <c r="AL79" s="149">
        <v>1837461</v>
      </c>
      <c r="AM79" s="149">
        <v>72800</v>
      </c>
      <c r="AN79" s="149">
        <f t="shared" si="32"/>
        <v>352767.74800000014</v>
      </c>
      <c r="AO79" s="149">
        <v>2263028.7480000001</v>
      </c>
      <c r="AP79" s="149">
        <f t="shared" si="33"/>
        <v>67890862.439999998</v>
      </c>
      <c r="AQ79" s="149">
        <v>9000000</v>
      </c>
      <c r="AR79" s="149">
        <f t="shared" si="34"/>
        <v>0</v>
      </c>
      <c r="AS79" s="149">
        <v>11000000</v>
      </c>
      <c r="AT79" s="149">
        <f t="shared" si="35"/>
        <v>20000000</v>
      </c>
      <c r="AU79" s="149">
        <f t="shared" si="36"/>
        <v>87890862.439999998</v>
      </c>
      <c r="AV79" s="75"/>
      <c r="AW79" s="161" t="s">
        <v>400</v>
      </c>
      <c r="AX79" s="161" t="s">
        <v>409</v>
      </c>
      <c r="AY79" s="162" t="s">
        <v>443</v>
      </c>
      <c r="AZ79" s="162"/>
    </row>
    <row r="80" spans="1:52" s="130" customFormat="1" x14ac:dyDescent="0.55000000000000004">
      <c r="A80" s="153">
        <v>1425</v>
      </c>
      <c r="B80" s="153">
        <v>28</v>
      </c>
      <c r="C80" s="154" t="s">
        <v>444</v>
      </c>
      <c r="D80" s="155" t="s">
        <v>445</v>
      </c>
      <c r="E80" s="128">
        <v>1</v>
      </c>
      <c r="F80" s="127" t="str">
        <f t="shared" si="31"/>
        <v>مرد</v>
      </c>
      <c r="G80" s="127" t="s">
        <v>446</v>
      </c>
      <c r="H80" s="129"/>
      <c r="I80" s="127"/>
      <c r="J80" s="127"/>
      <c r="K80" s="129"/>
      <c r="L80" s="129"/>
      <c r="M80" s="129">
        <v>5809669638</v>
      </c>
      <c r="N80" s="127"/>
      <c r="O80" s="127"/>
      <c r="P80" s="142"/>
      <c r="Q80" s="143"/>
      <c r="R80" s="143"/>
      <c r="S80" s="143"/>
      <c r="T80" s="143"/>
      <c r="U80" s="143"/>
      <c r="V80" s="143"/>
      <c r="W80" s="143"/>
      <c r="X80" s="143"/>
      <c r="Y80" s="143"/>
      <c r="Z80" s="143"/>
      <c r="AA80" s="143"/>
      <c r="AB80" s="147">
        <v>2</v>
      </c>
      <c r="AC80" s="147"/>
      <c r="AD80" s="147"/>
      <c r="AE80" s="147"/>
      <c r="AF80" s="147" t="s">
        <v>91</v>
      </c>
      <c r="AG80" s="148" t="s">
        <v>269</v>
      </c>
      <c r="AH80" s="149">
        <v>7</v>
      </c>
      <c r="AI80" s="149"/>
      <c r="AJ80" s="149"/>
      <c r="AK80" s="149"/>
      <c r="AL80" s="149">
        <v>1795587</v>
      </c>
      <c r="AM80" s="149">
        <v>71200</v>
      </c>
      <c r="AN80" s="149">
        <f t="shared" si="32"/>
        <v>433180.61100000003</v>
      </c>
      <c r="AO80" s="149">
        <v>2299967.611</v>
      </c>
      <c r="AP80" s="149">
        <f t="shared" si="33"/>
        <v>68999028.329999998</v>
      </c>
      <c r="AQ80" s="149">
        <v>9000000</v>
      </c>
      <c r="AR80" s="149">
        <f t="shared" si="34"/>
        <v>10616568</v>
      </c>
      <c r="AS80" s="149">
        <v>11000000</v>
      </c>
      <c r="AT80" s="149">
        <f t="shared" si="35"/>
        <v>30616568</v>
      </c>
      <c r="AU80" s="149">
        <f t="shared" si="36"/>
        <v>99615596.329999998</v>
      </c>
      <c r="AV80" s="75"/>
      <c r="AW80" s="161" t="s">
        <v>400</v>
      </c>
      <c r="AX80" s="161" t="s">
        <v>409</v>
      </c>
      <c r="AY80" s="162" t="s">
        <v>91</v>
      </c>
      <c r="AZ80" s="162"/>
    </row>
    <row r="81" spans="1:52" s="130" customFormat="1" x14ac:dyDescent="0.55000000000000004">
      <c r="A81" s="153">
        <v>1428</v>
      </c>
      <c r="B81" s="153">
        <v>29</v>
      </c>
      <c r="C81" s="154" t="s">
        <v>67</v>
      </c>
      <c r="D81" s="155" t="s">
        <v>447</v>
      </c>
      <c r="E81" s="128">
        <v>1</v>
      </c>
      <c r="F81" s="127" t="str">
        <f t="shared" si="31"/>
        <v>مرد</v>
      </c>
      <c r="G81" s="127" t="s">
        <v>83</v>
      </c>
      <c r="H81" s="129"/>
      <c r="I81" s="127"/>
      <c r="J81" s="127"/>
      <c r="K81" s="129"/>
      <c r="L81" s="129"/>
      <c r="M81" s="129">
        <v>4391229870</v>
      </c>
      <c r="N81" s="127"/>
      <c r="O81" s="127"/>
      <c r="P81" s="142"/>
      <c r="Q81" s="143"/>
      <c r="R81" s="143"/>
      <c r="S81" s="143"/>
      <c r="T81" s="143"/>
      <c r="U81" s="143"/>
      <c r="V81" s="143"/>
      <c r="W81" s="143"/>
      <c r="X81" s="143"/>
      <c r="Y81" s="143"/>
      <c r="Z81" s="143"/>
      <c r="AA81" s="143"/>
      <c r="AB81" s="147">
        <v>3</v>
      </c>
      <c r="AC81" s="147"/>
      <c r="AD81" s="147"/>
      <c r="AE81" s="147"/>
      <c r="AF81" s="147" t="s">
        <v>407</v>
      </c>
      <c r="AG81" s="148" t="s">
        <v>246</v>
      </c>
      <c r="AH81" s="149">
        <v>4</v>
      </c>
      <c r="AI81" s="149"/>
      <c r="AJ81" s="149"/>
      <c r="AK81" s="149"/>
      <c r="AL81" s="149">
        <v>1781198</v>
      </c>
      <c r="AM81" s="149">
        <v>70600</v>
      </c>
      <c r="AN81" s="149">
        <f t="shared" si="32"/>
        <v>485265.8703333335</v>
      </c>
      <c r="AO81" s="149">
        <v>2337063.8703333335</v>
      </c>
      <c r="AP81" s="149">
        <f t="shared" si="33"/>
        <v>70111916.109999999</v>
      </c>
      <c r="AQ81" s="149">
        <v>9000000</v>
      </c>
      <c r="AR81" s="149">
        <f t="shared" si="34"/>
        <v>15924852</v>
      </c>
      <c r="AS81" s="149">
        <v>11000000</v>
      </c>
      <c r="AT81" s="149">
        <f t="shared" si="35"/>
        <v>35924852</v>
      </c>
      <c r="AU81" s="149">
        <f t="shared" si="36"/>
        <v>106036768.11</v>
      </c>
      <c r="AV81" s="75"/>
      <c r="AW81" s="161" t="s">
        <v>400</v>
      </c>
      <c r="AX81" s="161" t="s">
        <v>401</v>
      </c>
      <c r="AY81" s="162" t="s">
        <v>407</v>
      </c>
      <c r="AZ81" s="162"/>
    </row>
    <row r="82" spans="1:52" s="130" customFormat="1" x14ac:dyDescent="0.55000000000000004">
      <c r="A82" s="153">
        <v>1430</v>
      </c>
      <c r="B82" s="153">
        <v>30</v>
      </c>
      <c r="C82" s="154" t="s">
        <v>31</v>
      </c>
      <c r="D82" s="155" t="s">
        <v>448</v>
      </c>
      <c r="E82" s="128">
        <v>1</v>
      </c>
      <c r="F82" s="127" t="str">
        <f t="shared" si="31"/>
        <v>مرد</v>
      </c>
      <c r="G82" s="127" t="s">
        <v>449</v>
      </c>
      <c r="H82" s="129"/>
      <c r="I82" s="127"/>
      <c r="J82" s="127"/>
      <c r="K82" s="129"/>
      <c r="L82" s="129"/>
      <c r="M82" s="129">
        <v>4324496854</v>
      </c>
      <c r="N82" s="127"/>
      <c r="O82" s="127"/>
      <c r="P82" s="142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7">
        <v>2</v>
      </c>
      <c r="AC82" s="147"/>
      <c r="AD82" s="147"/>
      <c r="AE82" s="147"/>
      <c r="AF82" s="147" t="s">
        <v>361</v>
      </c>
      <c r="AG82" s="148" t="s">
        <v>246</v>
      </c>
      <c r="AH82" s="149">
        <v>4</v>
      </c>
      <c r="AI82" s="149"/>
      <c r="AJ82" s="149"/>
      <c r="AK82" s="149"/>
      <c r="AL82" s="149">
        <v>1781198</v>
      </c>
      <c r="AM82" s="149">
        <v>70600</v>
      </c>
      <c r="AN82" s="149">
        <f t="shared" si="32"/>
        <v>485265.8703333335</v>
      </c>
      <c r="AO82" s="149">
        <v>2337063.8703333335</v>
      </c>
      <c r="AP82" s="149">
        <f t="shared" si="33"/>
        <v>70111916.109999999</v>
      </c>
      <c r="AQ82" s="149">
        <v>9000000</v>
      </c>
      <c r="AR82" s="149">
        <f t="shared" si="34"/>
        <v>10616568</v>
      </c>
      <c r="AS82" s="149">
        <v>11000000</v>
      </c>
      <c r="AT82" s="149">
        <f t="shared" si="35"/>
        <v>30616568</v>
      </c>
      <c r="AU82" s="149">
        <f t="shared" si="36"/>
        <v>100728484.11</v>
      </c>
      <c r="AV82" s="75"/>
      <c r="AW82" s="161" t="s">
        <v>400</v>
      </c>
      <c r="AX82" s="161" t="s">
        <v>409</v>
      </c>
      <c r="AY82" s="162" t="s">
        <v>362</v>
      </c>
      <c r="AZ82" s="162"/>
    </row>
    <row r="83" spans="1:52" s="130" customFormat="1" x14ac:dyDescent="0.55000000000000004">
      <c r="A83" s="153">
        <v>1432</v>
      </c>
      <c r="B83" s="153">
        <v>31</v>
      </c>
      <c r="C83" s="154" t="s">
        <v>450</v>
      </c>
      <c r="D83" s="155" t="s">
        <v>451</v>
      </c>
      <c r="E83" s="128">
        <v>1</v>
      </c>
      <c r="F83" s="127" t="str">
        <f t="shared" si="31"/>
        <v>مرد</v>
      </c>
      <c r="G83" s="127" t="s">
        <v>452</v>
      </c>
      <c r="H83" s="129"/>
      <c r="I83" s="127"/>
      <c r="J83" s="127"/>
      <c r="K83" s="129"/>
      <c r="L83" s="129"/>
      <c r="M83" s="129">
        <v>4323594348</v>
      </c>
      <c r="N83" s="127"/>
      <c r="O83" s="127"/>
      <c r="P83" s="142"/>
      <c r="Q83" s="143"/>
      <c r="R83" s="143"/>
      <c r="S83" s="143"/>
      <c r="T83" s="143"/>
      <c r="U83" s="143"/>
      <c r="V83" s="143"/>
      <c r="W83" s="143"/>
      <c r="X83" s="143"/>
      <c r="Y83" s="143"/>
      <c r="Z83" s="143"/>
      <c r="AA83" s="143"/>
      <c r="AB83" s="147">
        <v>1</v>
      </c>
      <c r="AC83" s="147"/>
      <c r="AD83" s="147"/>
      <c r="AE83" s="147"/>
      <c r="AF83" s="147" t="s">
        <v>153</v>
      </c>
      <c r="AG83" s="148" t="s">
        <v>256</v>
      </c>
      <c r="AH83" s="149">
        <v>6</v>
      </c>
      <c r="AI83" s="149"/>
      <c r="AJ83" s="149"/>
      <c r="AK83" s="149"/>
      <c r="AL83" s="149">
        <v>1790351</v>
      </c>
      <c r="AM83" s="149">
        <v>71000</v>
      </c>
      <c r="AN83" s="149">
        <f t="shared" si="32"/>
        <v>399877.74800000014</v>
      </c>
      <c r="AO83" s="149">
        <v>2261228.7480000001</v>
      </c>
      <c r="AP83" s="149">
        <f t="shared" si="33"/>
        <v>67836862.439999998</v>
      </c>
      <c r="AQ83" s="149">
        <v>9000000</v>
      </c>
      <c r="AR83" s="149">
        <f t="shared" si="34"/>
        <v>5308284</v>
      </c>
      <c r="AS83" s="149">
        <v>11000000</v>
      </c>
      <c r="AT83" s="149">
        <f t="shared" si="35"/>
        <v>25308284</v>
      </c>
      <c r="AU83" s="149">
        <f t="shared" si="36"/>
        <v>93145146.439999998</v>
      </c>
      <c r="AV83" s="75"/>
      <c r="AW83" s="161" t="s">
        <v>400</v>
      </c>
      <c r="AX83" s="161" t="s">
        <v>401</v>
      </c>
      <c r="AY83" s="162" t="s">
        <v>153</v>
      </c>
      <c r="AZ83" s="162" t="s">
        <v>358</v>
      </c>
    </row>
    <row r="84" spans="1:52" s="130" customFormat="1" x14ac:dyDescent="0.55000000000000004">
      <c r="A84" s="153">
        <v>1433</v>
      </c>
      <c r="B84" s="153">
        <v>32</v>
      </c>
      <c r="C84" s="154" t="s">
        <v>34</v>
      </c>
      <c r="D84" s="155" t="s">
        <v>453</v>
      </c>
      <c r="E84" s="128">
        <v>1</v>
      </c>
      <c r="F84" s="127" t="str">
        <f t="shared" si="31"/>
        <v>مرد</v>
      </c>
      <c r="G84" s="127" t="s">
        <v>454</v>
      </c>
      <c r="H84" s="129"/>
      <c r="I84" s="127"/>
      <c r="J84" s="127"/>
      <c r="K84" s="129"/>
      <c r="L84" s="129"/>
      <c r="M84" s="129">
        <v>2721607626</v>
      </c>
      <c r="N84" s="127"/>
      <c r="O84" s="127"/>
      <c r="P84" s="142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7">
        <v>0</v>
      </c>
      <c r="AC84" s="147"/>
      <c r="AD84" s="147"/>
      <c r="AE84" s="147"/>
      <c r="AF84" s="147" t="s">
        <v>437</v>
      </c>
      <c r="AG84" s="148" t="s">
        <v>387</v>
      </c>
      <c r="AH84" s="149" t="s">
        <v>388</v>
      </c>
      <c r="AI84" s="149"/>
      <c r="AJ84" s="149"/>
      <c r="AK84" s="149"/>
      <c r="AL84" s="149">
        <v>1795587</v>
      </c>
      <c r="AM84" s="149">
        <v>71200</v>
      </c>
      <c r="AN84" s="149">
        <f t="shared" si="32"/>
        <v>470876.8703333335</v>
      </c>
      <c r="AO84" s="149">
        <v>2337663.8703333335</v>
      </c>
      <c r="AP84" s="149">
        <f t="shared" si="33"/>
        <v>70129916.109999999</v>
      </c>
      <c r="AQ84" s="149">
        <v>9000000</v>
      </c>
      <c r="AR84" s="149">
        <f t="shared" si="34"/>
        <v>0</v>
      </c>
      <c r="AS84" s="149">
        <v>11000000</v>
      </c>
      <c r="AT84" s="149">
        <f t="shared" si="35"/>
        <v>20000000</v>
      </c>
      <c r="AU84" s="149">
        <f t="shared" si="36"/>
        <v>90129916.109999999</v>
      </c>
      <c r="AV84" s="75"/>
      <c r="AW84" s="161" t="s">
        <v>400</v>
      </c>
      <c r="AX84" s="161" t="s">
        <v>409</v>
      </c>
      <c r="AY84" s="162" t="s">
        <v>438</v>
      </c>
      <c r="AZ84" s="162"/>
    </row>
    <row r="85" spans="1:52" s="130" customFormat="1" x14ac:dyDescent="0.55000000000000004">
      <c r="A85" s="153">
        <v>1434</v>
      </c>
      <c r="B85" s="153">
        <v>33</v>
      </c>
      <c r="C85" s="154" t="s">
        <v>455</v>
      </c>
      <c r="D85" s="155" t="s">
        <v>456</v>
      </c>
      <c r="E85" s="128">
        <v>1</v>
      </c>
      <c r="F85" s="127" t="str">
        <f t="shared" ref="F85:F106" si="37">IF(E85=1,"مرد","زن")</f>
        <v>مرد</v>
      </c>
      <c r="G85" s="127" t="s">
        <v>63</v>
      </c>
      <c r="H85" s="129"/>
      <c r="I85" s="127"/>
      <c r="J85" s="127"/>
      <c r="K85" s="129"/>
      <c r="L85" s="129"/>
      <c r="M85" s="129">
        <v>4322965377</v>
      </c>
      <c r="N85" s="127"/>
      <c r="O85" s="127"/>
      <c r="P85" s="142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7">
        <v>2</v>
      </c>
      <c r="AC85" s="147"/>
      <c r="AD85" s="147"/>
      <c r="AE85" s="147"/>
      <c r="AF85" s="147" t="s">
        <v>80</v>
      </c>
      <c r="AG85" s="148" t="s">
        <v>275</v>
      </c>
      <c r="AH85" s="149">
        <v>13</v>
      </c>
      <c r="AI85" s="149"/>
      <c r="AJ85" s="149"/>
      <c r="AK85" s="149"/>
      <c r="AL85" s="149">
        <v>1837461</v>
      </c>
      <c r="AM85" s="149">
        <v>72800</v>
      </c>
      <c r="AN85" s="149">
        <f t="shared" ref="AN85:AN106" si="38">AO85-AL85-AM85</f>
        <v>164718.38100000005</v>
      </c>
      <c r="AO85" s="149">
        <v>2074979.3810000001</v>
      </c>
      <c r="AP85" s="149">
        <f t="shared" ref="AP85:AP106" si="39">AO85*30</f>
        <v>62249381.43</v>
      </c>
      <c r="AQ85" s="149">
        <v>9000000</v>
      </c>
      <c r="AR85" s="149">
        <f t="shared" ref="AR85:AR106" si="40">AB85*5308284</f>
        <v>10616568</v>
      </c>
      <c r="AS85" s="149">
        <v>11000000</v>
      </c>
      <c r="AT85" s="149">
        <f t="shared" ref="AT85:AT106" si="41">SUM(AQ85:AS85)</f>
        <v>30616568</v>
      </c>
      <c r="AU85" s="149">
        <f t="shared" ref="AU85:AU106" si="42">AT85+AP85</f>
        <v>92865949.430000007</v>
      </c>
      <c r="AV85" s="75"/>
      <c r="AW85" s="161" t="s">
        <v>400</v>
      </c>
      <c r="AX85" s="161" t="s">
        <v>401</v>
      </c>
      <c r="AY85" s="162" t="s">
        <v>80</v>
      </c>
      <c r="AZ85" s="162"/>
    </row>
    <row r="86" spans="1:52" s="130" customFormat="1" x14ac:dyDescent="0.55000000000000004">
      <c r="A86" s="153">
        <v>1438</v>
      </c>
      <c r="B86" s="153">
        <v>34</v>
      </c>
      <c r="C86" s="154" t="s">
        <v>441</v>
      </c>
      <c r="D86" s="155" t="s">
        <v>457</v>
      </c>
      <c r="E86" s="128">
        <v>1</v>
      </c>
      <c r="F86" s="127" t="str">
        <f t="shared" si="37"/>
        <v>مرد</v>
      </c>
      <c r="G86" s="127" t="s">
        <v>194</v>
      </c>
      <c r="H86" s="129"/>
      <c r="I86" s="127"/>
      <c r="J86" s="127"/>
      <c r="K86" s="129"/>
      <c r="L86" s="129"/>
      <c r="M86" s="129">
        <v>5099798713</v>
      </c>
      <c r="N86" s="127"/>
      <c r="O86" s="127"/>
      <c r="P86" s="142"/>
      <c r="Q86" s="143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7">
        <v>3</v>
      </c>
      <c r="AC86" s="147"/>
      <c r="AD86" s="147"/>
      <c r="AE86" s="147"/>
      <c r="AF86" s="147" t="s">
        <v>153</v>
      </c>
      <c r="AG86" s="148" t="s">
        <v>256</v>
      </c>
      <c r="AH86" s="149">
        <v>6</v>
      </c>
      <c r="AI86" s="149"/>
      <c r="AJ86" s="149"/>
      <c r="AK86" s="149"/>
      <c r="AL86" s="149">
        <v>1790351</v>
      </c>
      <c r="AM86" s="149">
        <v>71000</v>
      </c>
      <c r="AN86" s="149">
        <f t="shared" si="38"/>
        <v>399877.74800000014</v>
      </c>
      <c r="AO86" s="149">
        <v>2261228.7480000001</v>
      </c>
      <c r="AP86" s="149">
        <f t="shared" si="39"/>
        <v>67836862.439999998</v>
      </c>
      <c r="AQ86" s="149">
        <v>9000000</v>
      </c>
      <c r="AR86" s="149">
        <f t="shared" si="40"/>
        <v>15924852</v>
      </c>
      <c r="AS86" s="149">
        <v>11000000</v>
      </c>
      <c r="AT86" s="149">
        <f t="shared" si="41"/>
        <v>35924852</v>
      </c>
      <c r="AU86" s="149">
        <f t="shared" si="42"/>
        <v>103761714.44</v>
      </c>
      <c r="AV86" s="75"/>
      <c r="AW86" s="161" t="s">
        <v>400</v>
      </c>
      <c r="AX86" s="161" t="s">
        <v>409</v>
      </c>
      <c r="AY86" s="162" t="s">
        <v>153</v>
      </c>
      <c r="AZ86" s="162" t="s">
        <v>358</v>
      </c>
    </row>
    <row r="87" spans="1:52" s="130" customFormat="1" x14ac:dyDescent="0.55000000000000004">
      <c r="A87" s="153">
        <v>1440</v>
      </c>
      <c r="B87" s="153">
        <v>35</v>
      </c>
      <c r="C87" s="154" t="s">
        <v>34</v>
      </c>
      <c r="D87" s="155" t="s">
        <v>458</v>
      </c>
      <c r="E87" s="128">
        <v>1</v>
      </c>
      <c r="F87" s="127" t="str">
        <f t="shared" si="37"/>
        <v>مرد</v>
      </c>
      <c r="G87" s="127" t="s">
        <v>459</v>
      </c>
      <c r="H87" s="129"/>
      <c r="I87" s="127"/>
      <c r="J87" s="127"/>
      <c r="K87" s="129"/>
      <c r="L87" s="129"/>
      <c r="M87" s="129">
        <v>5599878872</v>
      </c>
      <c r="N87" s="127"/>
      <c r="O87" s="127"/>
      <c r="P87" s="142"/>
      <c r="Q87" s="143"/>
      <c r="R87" s="143"/>
      <c r="S87" s="143"/>
      <c r="T87" s="143"/>
      <c r="U87" s="143"/>
      <c r="V87" s="143"/>
      <c r="W87" s="143"/>
      <c r="X87" s="143"/>
      <c r="Y87" s="143"/>
      <c r="Z87" s="143"/>
      <c r="AA87" s="143"/>
      <c r="AB87" s="147">
        <v>2</v>
      </c>
      <c r="AC87" s="147"/>
      <c r="AD87" s="147"/>
      <c r="AE87" s="147"/>
      <c r="AF87" s="147" t="s">
        <v>407</v>
      </c>
      <c r="AG87" s="148" t="s">
        <v>246</v>
      </c>
      <c r="AH87" s="149">
        <v>4</v>
      </c>
      <c r="AI87" s="149"/>
      <c r="AJ87" s="149"/>
      <c r="AK87" s="149"/>
      <c r="AL87" s="149">
        <v>1781198</v>
      </c>
      <c r="AM87" s="149">
        <v>70600</v>
      </c>
      <c r="AN87" s="149">
        <f t="shared" si="38"/>
        <v>485265.8703333335</v>
      </c>
      <c r="AO87" s="149">
        <v>2337063.8703333335</v>
      </c>
      <c r="AP87" s="149">
        <f t="shared" si="39"/>
        <v>70111916.109999999</v>
      </c>
      <c r="AQ87" s="149">
        <v>9000000</v>
      </c>
      <c r="AR87" s="149">
        <f t="shared" si="40"/>
        <v>10616568</v>
      </c>
      <c r="AS87" s="149">
        <v>11000000</v>
      </c>
      <c r="AT87" s="149">
        <f t="shared" si="41"/>
        <v>30616568</v>
      </c>
      <c r="AU87" s="149">
        <f t="shared" si="42"/>
        <v>100728484.11</v>
      </c>
      <c r="AV87" s="75"/>
      <c r="AW87" s="161" t="s">
        <v>400</v>
      </c>
      <c r="AX87" s="161" t="s">
        <v>401</v>
      </c>
      <c r="AY87" s="162" t="s">
        <v>407</v>
      </c>
      <c r="AZ87" s="162"/>
    </row>
    <row r="88" spans="1:52" s="130" customFormat="1" x14ac:dyDescent="0.55000000000000004">
      <c r="A88" s="153">
        <v>1441</v>
      </c>
      <c r="B88" s="153">
        <v>36</v>
      </c>
      <c r="C88" s="154" t="s">
        <v>434</v>
      </c>
      <c r="D88" s="155" t="s">
        <v>460</v>
      </c>
      <c r="E88" s="128">
        <v>1</v>
      </c>
      <c r="F88" s="127" t="str">
        <f t="shared" si="37"/>
        <v>مرد</v>
      </c>
      <c r="G88" s="127" t="s">
        <v>417</v>
      </c>
      <c r="H88" s="129"/>
      <c r="I88" s="127"/>
      <c r="J88" s="127"/>
      <c r="K88" s="129"/>
      <c r="L88" s="129"/>
      <c r="M88" s="129">
        <v>4310011276</v>
      </c>
      <c r="N88" s="127"/>
      <c r="O88" s="127"/>
      <c r="P88" s="142"/>
      <c r="Q88" s="143"/>
      <c r="R88" s="143"/>
      <c r="S88" s="143"/>
      <c r="T88" s="143"/>
      <c r="U88" s="143"/>
      <c r="V88" s="143"/>
      <c r="W88" s="143"/>
      <c r="X88" s="143"/>
      <c r="Y88" s="143"/>
      <c r="Z88" s="143"/>
      <c r="AA88" s="143"/>
      <c r="AB88" s="147">
        <v>0</v>
      </c>
      <c r="AC88" s="147"/>
      <c r="AD88" s="147"/>
      <c r="AE88" s="147"/>
      <c r="AF88" s="147" t="s">
        <v>461</v>
      </c>
      <c r="AG88" s="148" t="s">
        <v>462</v>
      </c>
      <c r="AH88" s="149" t="s">
        <v>463</v>
      </c>
      <c r="AI88" s="149"/>
      <c r="AJ88" s="149"/>
      <c r="AK88" s="149"/>
      <c r="AL88" s="149">
        <v>1807363</v>
      </c>
      <c r="AM88" s="149">
        <v>71600</v>
      </c>
      <c r="AN88" s="149">
        <f t="shared" si="38"/>
        <v>297748.98366666678</v>
      </c>
      <c r="AO88" s="149">
        <v>2176711.9836666668</v>
      </c>
      <c r="AP88" s="149">
        <f t="shared" si="39"/>
        <v>65301359.510000005</v>
      </c>
      <c r="AQ88" s="149">
        <v>9000000</v>
      </c>
      <c r="AR88" s="149">
        <f t="shared" si="40"/>
        <v>0</v>
      </c>
      <c r="AS88" s="149">
        <v>11000000</v>
      </c>
      <c r="AT88" s="149">
        <f t="shared" si="41"/>
        <v>20000000</v>
      </c>
      <c r="AU88" s="149">
        <f t="shared" si="42"/>
        <v>85301359.510000005</v>
      </c>
      <c r="AV88" s="75"/>
      <c r="AW88" s="161" t="s">
        <v>400</v>
      </c>
      <c r="AX88" s="161" t="s">
        <v>409</v>
      </c>
      <c r="AY88" s="162" t="s">
        <v>461</v>
      </c>
      <c r="AZ88" s="162"/>
    </row>
    <row r="89" spans="1:52" s="130" customFormat="1" x14ac:dyDescent="0.55000000000000004">
      <c r="A89" s="153">
        <v>1442</v>
      </c>
      <c r="B89" s="153">
        <v>37</v>
      </c>
      <c r="C89" s="154" t="s">
        <v>78</v>
      </c>
      <c r="D89" s="155" t="s">
        <v>464</v>
      </c>
      <c r="E89" s="128">
        <v>1</v>
      </c>
      <c r="F89" s="127" t="str">
        <f t="shared" si="37"/>
        <v>مرد</v>
      </c>
      <c r="G89" s="127" t="s">
        <v>465</v>
      </c>
      <c r="H89" s="129"/>
      <c r="I89" s="127"/>
      <c r="J89" s="127"/>
      <c r="K89" s="129"/>
      <c r="L89" s="129"/>
      <c r="M89" s="129" t="s">
        <v>466</v>
      </c>
      <c r="N89" s="127"/>
      <c r="O89" s="127"/>
      <c r="P89" s="142"/>
      <c r="Q89" s="143"/>
      <c r="R89" s="143"/>
      <c r="S89" s="143"/>
      <c r="T89" s="143"/>
      <c r="U89" s="143"/>
      <c r="V89" s="143"/>
      <c r="W89" s="143"/>
      <c r="X89" s="143"/>
      <c r="Y89" s="143"/>
      <c r="Z89" s="143"/>
      <c r="AA89" s="143"/>
      <c r="AB89" s="147">
        <v>1</v>
      </c>
      <c r="AC89" s="147"/>
      <c r="AD89" s="147"/>
      <c r="AE89" s="147"/>
      <c r="AF89" s="147" t="s">
        <v>80</v>
      </c>
      <c r="AG89" s="148" t="s">
        <v>275</v>
      </c>
      <c r="AH89" s="149">
        <v>13</v>
      </c>
      <c r="AI89" s="149"/>
      <c r="AJ89" s="149"/>
      <c r="AK89" s="149"/>
      <c r="AL89" s="149">
        <v>1837461</v>
      </c>
      <c r="AM89" s="149">
        <v>72800</v>
      </c>
      <c r="AN89" s="149">
        <f t="shared" si="38"/>
        <v>94586.538999999873</v>
      </c>
      <c r="AO89" s="149">
        <v>2004847.5389999999</v>
      </c>
      <c r="AP89" s="149">
        <f t="shared" si="39"/>
        <v>60145426.169999994</v>
      </c>
      <c r="AQ89" s="149">
        <v>9000000</v>
      </c>
      <c r="AR89" s="149">
        <f t="shared" si="40"/>
        <v>5308284</v>
      </c>
      <c r="AS89" s="149">
        <v>11000000</v>
      </c>
      <c r="AT89" s="149">
        <f t="shared" si="41"/>
        <v>25308284</v>
      </c>
      <c r="AU89" s="149">
        <f t="shared" si="42"/>
        <v>85453710.169999987</v>
      </c>
      <c r="AV89" s="75"/>
      <c r="AW89" s="161" t="s">
        <v>400</v>
      </c>
      <c r="AX89" s="161" t="s">
        <v>409</v>
      </c>
      <c r="AY89" s="162" t="s">
        <v>80</v>
      </c>
      <c r="AZ89" s="162"/>
    </row>
    <row r="90" spans="1:52" s="130" customFormat="1" x14ac:dyDescent="0.55000000000000004">
      <c r="A90" s="153">
        <v>1443</v>
      </c>
      <c r="B90" s="153">
        <v>38</v>
      </c>
      <c r="C90" s="154" t="s">
        <v>467</v>
      </c>
      <c r="D90" s="155" t="s">
        <v>468</v>
      </c>
      <c r="E90" s="128">
        <v>1</v>
      </c>
      <c r="F90" s="127" t="str">
        <f t="shared" si="37"/>
        <v>مرد</v>
      </c>
      <c r="G90" s="127" t="s">
        <v>469</v>
      </c>
      <c r="H90" s="129"/>
      <c r="I90" s="127"/>
      <c r="J90" s="127"/>
      <c r="K90" s="129"/>
      <c r="L90" s="129"/>
      <c r="M90" s="129">
        <v>4310170978</v>
      </c>
      <c r="N90" s="127"/>
      <c r="O90" s="127"/>
      <c r="P90" s="142"/>
      <c r="Q90" s="143"/>
      <c r="R90" s="143"/>
      <c r="S90" s="143"/>
      <c r="T90" s="143"/>
      <c r="U90" s="143"/>
      <c r="V90" s="143"/>
      <c r="W90" s="143"/>
      <c r="X90" s="143"/>
      <c r="Y90" s="143"/>
      <c r="Z90" s="143"/>
      <c r="AA90" s="143"/>
      <c r="AB90" s="147">
        <v>0</v>
      </c>
      <c r="AC90" s="147"/>
      <c r="AD90" s="147"/>
      <c r="AE90" s="147"/>
      <c r="AF90" s="147" t="s">
        <v>470</v>
      </c>
      <c r="AG90" s="148" t="s">
        <v>471</v>
      </c>
      <c r="AH90" s="149">
        <v>7</v>
      </c>
      <c r="AI90" s="149"/>
      <c r="AJ90" s="149"/>
      <c r="AK90" s="149"/>
      <c r="AL90" s="149">
        <v>1795587</v>
      </c>
      <c r="AM90" s="149">
        <v>71200</v>
      </c>
      <c r="AN90" s="149">
        <f t="shared" si="38"/>
        <v>136460.53899999987</v>
      </c>
      <c r="AO90" s="149">
        <v>2003247.5389999999</v>
      </c>
      <c r="AP90" s="149">
        <f t="shared" si="39"/>
        <v>60097426.169999994</v>
      </c>
      <c r="AQ90" s="149">
        <v>9000000</v>
      </c>
      <c r="AR90" s="149">
        <f t="shared" si="40"/>
        <v>0</v>
      </c>
      <c r="AS90" s="149">
        <v>11000000</v>
      </c>
      <c r="AT90" s="149">
        <f t="shared" si="41"/>
        <v>20000000</v>
      </c>
      <c r="AU90" s="149">
        <f t="shared" si="42"/>
        <v>80097426.169999987</v>
      </c>
      <c r="AV90" s="75"/>
      <c r="AW90" s="161" t="s">
        <v>400</v>
      </c>
      <c r="AX90" s="161" t="s">
        <v>409</v>
      </c>
      <c r="AY90" s="162" t="s">
        <v>470</v>
      </c>
      <c r="AZ90" s="162"/>
    </row>
    <row r="91" spans="1:52" s="130" customFormat="1" x14ac:dyDescent="0.55000000000000004">
      <c r="A91" s="153">
        <v>1444</v>
      </c>
      <c r="B91" s="153">
        <v>39</v>
      </c>
      <c r="C91" s="154" t="s">
        <v>472</v>
      </c>
      <c r="D91" s="155" t="s">
        <v>473</v>
      </c>
      <c r="E91" s="128">
        <v>1</v>
      </c>
      <c r="F91" s="127" t="str">
        <f t="shared" si="37"/>
        <v>مرد</v>
      </c>
      <c r="G91" s="127" t="s">
        <v>302</v>
      </c>
      <c r="H91" s="129"/>
      <c r="I91" s="127"/>
      <c r="J91" s="127"/>
      <c r="K91" s="129"/>
      <c r="L91" s="129"/>
      <c r="M91" s="129">
        <v>3970123291</v>
      </c>
      <c r="N91" s="127"/>
      <c r="O91" s="127"/>
      <c r="P91" s="142"/>
      <c r="Q91" s="143"/>
      <c r="R91" s="143"/>
      <c r="S91" s="143"/>
      <c r="T91" s="143"/>
      <c r="U91" s="143"/>
      <c r="V91" s="143"/>
      <c r="W91" s="143"/>
      <c r="X91" s="143"/>
      <c r="Y91" s="143"/>
      <c r="Z91" s="143"/>
      <c r="AA91" s="143"/>
      <c r="AB91" s="147">
        <v>1</v>
      </c>
      <c r="AC91" s="147"/>
      <c r="AD91" s="147"/>
      <c r="AE91" s="147"/>
      <c r="AF91" s="147" t="s">
        <v>474</v>
      </c>
      <c r="AG91" s="148" t="s">
        <v>475</v>
      </c>
      <c r="AH91" s="149">
        <v>7</v>
      </c>
      <c r="AI91" s="149"/>
      <c r="AJ91" s="149"/>
      <c r="AK91" s="149"/>
      <c r="AL91" s="149">
        <v>1795587</v>
      </c>
      <c r="AM91" s="149">
        <v>71200</v>
      </c>
      <c r="AN91" s="149">
        <f t="shared" si="38"/>
        <v>265587.2620000001</v>
      </c>
      <c r="AO91" s="149">
        <v>2132374.2620000001</v>
      </c>
      <c r="AP91" s="149">
        <f t="shared" si="39"/>
        <v>63971227.859999999</v>
      </c>
      <c r="AQ91" s="149">
        <v>9000000</v>
      </c>
      <c r="AR91" s="149">
        <f t="shared" si="40"/>
        <v>5308284</v>
      </c>
      <c r="AS91" s="149">
        <v>11000000</v>
      </c>
      <c r="AT91" s="149">
        <f t="shared" si="41"/>
        <v>25308284</v>
      </c>
      <c r="AU91" s="149">
        <f t="shared" si="42"/>
        <v>89279511.859999999</v>
      </c>
      <c r="AV91" s="75"/>
      <c r="AW91" s="161" t="s">
        <v>400</v>
      </c>
      <c r="AX91" s="161" t="s">
        <v>401</v>
      </c>
      <c r="AY91" s="162" t="s">
        <v>476</v>
      </c>
      <c r="AZ91" s="162"/>
    </row>
    <row r="92" spans="1:52" s="130" customFormat="1" x14ac:dyDescent="0.55000000000000004">
      <c r="A92" s="153">
        <v>1445</v>
      </c>
      <c r="B92" s="153">
        <v>40</v>
      </c>
      <c r="C92" s="154" t="s">
        <v>186</v>
      </c>
      <c r="D92" s="155" t="s">
        <v>477</v>
      </c>
      <c r="E92" s="128">
        <v>1</v>
      </c>
      <c r="F92" s="127" t="str">
        <f t="shared" si="37"/>
        <v>مرد</v>
      </c>
      <c r="G92" s="127" t="s">
        <v>478</v>
      </c>
      <c r="H92" s="129"/>
      <c r="I92" s="127"/>
      <c r="J92" s="127"/>
      <c r="K92" s="129"/>
      <c r="L92" s="129"/>
      <c r="M92" s="129">
        <v>4310200532</v>
      </c>
      <c r="N92" s="127"/>
      <c r="O92" s="127"/>
      <c r="P92" s="142"/>
      <c r="Q92" s="143"/>
      <c r="R92" s="143"/>
      <c r="S92" s="143"/>
      <c r="T92" s="143"/>
      <c r="U92" s="143"/>
      <c r="V92" s="143"/>
      <c r="W92" s="143"/>
      <c r="X92" s="143"/>
      <c r="Y92" s="143"/>
      <c r="Z92" s="143"/>
      <c r="AA92" s="143"/>
      <c r="AB92" s="147">
        <v>0</v>
      </c>
      <c r="AC92" s="147"/>
      <c r="AD92" s="147"/>
      <c r="AE92" s="147"/>
      <c r="AF92" s="147" t="s">
        <v>153</v>
      </c>
      <c r="AG92" s="148" t="s">
        <v>256</v>
      </c>
      <c r="AH92" s="149">
        <v>6</v>
      </c>
      <c r="AI92" s="149"/>
      <c r="AJ92" s="149"/>
      <c r="AK92" s="149"/>
      <c r="AL92" s="149">
        <v>1790351</v>
      </c>
      <c r="AM92" s="149">
        <v>71000</v>
      </c>
      <c r="AN92" s="149">
        <f t="shared" si="38"/>
        <v>399877.74800000014</v>
      </c>
      <c r="AO92" s="149">
        <v>2261228.7480000001</v>
      </c>
      <c r="AP92" s="149">
        <f t="shared" si="39"/>
        <v>67836862.439999998</v>
      </c>
      <c r="AQ92" s="149">
        <v>9000000</v>
      </c>
      <c r="AR92" s="149">
        <f t="shared" si="40"/>
        <v>0</v>
      </c>
      <c r="AS92" s="149">
        <v>11000000</v>
      </c>
      <c r="AT92" s="149">
        <f t="shared" si="41"/>
        <v>20000000</v>
      </c>
      <c r="AU92" s="149">
        <f t="shared" si="42"/>
        <v>87836862.439999998</v>
      </c>
      <c r="AV92" s="75"/>
      <c r="AW92" s="161" t="s">
        <v>400</v>
      </c>
      <c r="AX92" s="161" t="s">
        <v>479</v>
      </c>
      <c r="AY92" s="162" t="s">
        <v>153</v>
      </c>
      <c r="AZ92" s="162" t="s">
        <v>358</v>
      </c>
    </row>
    <row r="93" spans="1:52" s="130" customFormat="1" x14ac:dyDescent="0.55000000000000004">
      <c r="A93" s="153">
        <v>1447</v>
      </c>
      <c r="B93" s="153">
        <v>41</v>
      </c>
      <c r="C93" s="154" t="s">
        <v>34</v>
      </c>
      <c r="D93" s="155" t="s">
        <v>480</v>
      </c>
      <c r="E93" s="128">
        <v>1</v>
      </c>
      <c r="F93" s="127" t="str">
        <f t="shared" si="37"/>
        <v>مرد</v>
      </c>
      <c r="G93" s="127" t="s">
        <v>481</v>
      </c>
      <c r="H93" s="129"/>
      <c r="I93" s="127"/>
      <c r="J93" s="127"/>
      <c r="K93" s="129"/>
      <c r="L93" s="129"/>
      <c r="M93" s="129">
        <v>4323089503</v>
      </c>
      <c r="N93" s="127"/>
      <c r="O93" s="127"/>
      <c r="P93" s="142"/>
      <c r="Q93" s="143"/>
      <c r="R93" s="143"/>
      <c r="S93" s="143"/>
      <c r="T93" s="143"/>
      <c r="U93" s="143"/>
      <c r="V93" s="143"/>
      <c r="W93" s="143"/>
      <c r="X93" s="143"/>
      <c r="Y93" s="143"/>
      <c r="Z93" s="143"/>
      <c r="AA93" s="143"/>
      <c r="AB93" s="147">
        <v>3</v>
      </c>
      <c r="AC93" s="147"/>
      <c r="AD93" s="147"/>
      <c r="AE93" s="147"/>
      <c r="AF93" s="147" t="s">
        <v>482</v>
      </c>
      <c r="AG93" s="148" t="s">
        <v>246</v>
      </c>
      <c r="AH93" s="149">
        <v>4</v>
      </c>
      <c r="AI93" s="149"/>
      <c r="AJ93" s="149"/>
      <c r="AK93" s="149"/>
      <c r="AL93" s="149">
        <v>1781198</v>
      </c>
      <c r="AM93" s="149">
        <v>70600</v>
      </c>
      <c r="AN93" s="149">
        <f t="shared" si="38"/>
        <v>447569.61100000003</v>
      </c>
      <c r="AO93" s="149">
        <v>2299367.611</v>
      </c>
      <c r="AP93" s="149">
        <f t="shared" si="39"/>
        <v>68981028.329999998</v>
      </c>
      <c r="AQ93" s="149">
        <v>9000000</v>
      </c>
      <c r="AR93" s="149">
        <f t="shared" si="40"/>
        <v>15924852</v>
      </c>
      <c r="AS93" s="149">
        <v>11000000</v>
      </c>
      <c r="AT93" s="149">
        <f t="shared" si="41"/>
        <v>35924852</v>
      </c>
      <c r="AU93" s="149">
        <f t="shared" si="42"/>
        <v>104905880.33</v>
      </c>
      <c r="AV93" s="75"/>
      <c r="AW93" s="161" t="s">
        <v>400</v>
      </c>
      <c r="AX93" s="161" t="s">
        <v>409</v>
      </c>
      <c r="AY93" s="162" t="s">
        <v>483</v>
      </c>
      <c r="AZ93" s="162"/>
    </row>
    <row r="94" spans="1:52" s="130" customFormat="1" x14ac:dyDescent="0.55000000000000004">
      <c r="A94" s="153">
        <v>1408</v>
      </c>
      <c r="B94" s="153">
        <v>42</v>
      </c>
      <c r="C94" s="154" t="s">
        <v>118</v>
      </c>
      <c r="D94" s="155" t="s">
        <v>484</v>
      </c>
      <c r="E94" s="128">
        <v>1</v>
      </c>
      <c r="F94" s="127" t="str">
        <f t="shared" si="37"/>
        <v>مرد</v>
      </c>
      <c r="G94" s="127" t="s">
        <v>485</v>
      </c>
      <c r="H94" s="129"/>
      <c r="I94" s="127"/>
      <c r="J94" s="127"/>
      <c r="K94" s="129"/>
      <c r="L94" s="129"/>
      <c r="M94" s="129">
        <v>1518744644</v>
      </c>
      <c r="N94" s="127"/>
      <c r="O94" s="127"/>
      <c r="P94" s="142"/>
      <c r="Q94" s="143"/>
      <c r="R94" s="143"/>
      <c r="S94" s="143"/>
      <c r="T94" s="143"/>
      <c r="U94" s="143"/>
      <c r="V94" s="143"/>
      <c r="W94" s="143"/>
      <c r="X94" s="143"/>
      <c r="Y94" s="143"/>
      <c r="Z94" s="143"/>
      <c r="AA94" s="143"/>
      <c r="AB94" s="147">
        <v>1</v>
      </c>
      <c r="AC94" s="147"/>
      <c r="AD94" s="147"/>
      <c r="AE94" s="147"/>
      <c r="AF94" s="147" t="s">
        <v>486</v>
      </c>
      <c r="AG94" s="148" t="s">
        <v>249</v>
      </c>
      <c r="AH94" s="149">
        <v>2</v>
      </c>
      <c r="AI94" s="149"/>
      <c r="AJ94" s="149"/>
      <c r="AK94" s="149"/>
      <c r="AL94" s="149">
        <v>1773348</v>
      </c>
      <c r="AM94" s="149">
        <v>70200</v>
      </c>
      <c r="AN94" s="149">
        <f t="shared" si="38"/>
        <v>493115.8703333335</v>
      </c>
      <c r="AO94" s="149">
        <v>2336663.8703333335</v>
      </c>
      <c r="AP94" s="149">
        <f t="shared" si="39"/>
        <v>70099916.109999999</v>
      </c>
      <c r="AQ94" s="149">
        <v>9000000</v>
      </c>
      <c r="AR94" s="149">
        <f t="shared" si="40"/>
        <v>5308284</v>
      </c>
      <c r="AS94" s="149">
        <v>11000000</v>
      </c>
      <c r="AT94" s="149">
        <f t="shared" si="41"/>
        <v>25308284</v>
      </c>
      <c r="AU94" s="149">
        <f t="shared" si="42"/>
        <v>95408200.109999999</v>
      </c>
      <c r="AV94" s="75"/>
      <c r="AW94" s="161" t="s">
        <v>487</v>
      </c>
      <c r="AX94" s="161" t="s">
        <v>409</v>
      </c>
      <c r="AY94" s="162" t="s">
        <v>488</v>
      </c>
      <c r="AZ94" s="162" t="s">
        <v>358</v>
      </c>
    </row>
    <row r="95" spans="1:52" s="130" customFormat="1" x14ac:dyDescent="0.55000000000000004">
      <c r="A95" s="153">
        <v>1417</v>
      </c>
      <c r="B95" s="153">
        <v>43</v>
      </c>
      <c r="C95" s="154" t="s">
        <v>489</v>
      </c>
      <c r="D95" s="155" t="s">
        <v>490</v>
      </c>
      <c r="E95" s="128">
        <v>1</v>
      </c>
      <c r="F95" s="127" t="str">
        <f t="shared" si="37"/>
        <v>مرد</v>
      </c>
      <c r="G95" s="127" t="s">
        <v>491</v>
      </c>
      <c r="H95" s="129"/>
      <c r="I95" s="127"/>
      <c r="J95" s="127"/>
      <c r="K95" s="129"/>
      <c r="L95" s="129"/>
      <c r="M95" s="129">
        <v>3369511924</v>
      </c>
      <c r="N95" s="127"/>
      <c r="O95" s="127"/>
      <c r="P95" s="142"/>
      <c r="Q95" s="143"/>
      <c r="R95" s="143"/>
      <c r="S95" s="143"/>
      <c r="T95" s="143"/>
      <c r="U95" s="143"/>
      <c r="V95" s="143"/>
      <c r="W95" s="143"/>
      <c r="X95" s="143"/>
      <c r="Y95" s="143"/>
      <c r="Z95" s="143"/>
      <c r="AA95" s="143"/>
      <c r="AB95" s="147">
        <v>0</v>
      </c>
      <c r="AC95" s="147"/>
      <c r="AD95" s="147"/>
      <c r="AE95" s="147"/>
      <c r="AF95" s="147" t="s">
        <v>74</v>
      </c>
      <c r="AG95" s="148" t="s">
        <v>230</v>
      </c>
      <c r="AH95" s="149">
        <v>2</v>
      </c>
      <c r="AI95" s="149"/>
      <c r="AJ95" s="149"/>
      <c r="AK95" s="149"/>
      <c r="AL95" s="149">
        <v>1773348</v>
      </c>
      <c r="AM95" s="149">
        <v>70200</v>
      </c>
      <c r="AN95" s="149">
        <f t="shared" si="38"/>
        <v>493115.8703333335</v>
      </c>
      <c r="AO95" s="149">
        <v>2336663.8703333335</v>
      </c>
      <c r="AP95" s="149">
        <f t="shared" si="39"/>
        <v>70099916.109999999</v>
      </c>
      <c r="AQ95" s="149">
        <v>9000000</v>
      </c>
      <c r="AR95" s="149">
        <f t="shared" si="40"/>
        <v>0</v>
      </c>
      <c r="AS95" s="149">
        <v>11000000</v>
      </c>
      <c r="AT95" s="149">
        <f t="shared" si="41"/>
        <v>20000000</v>
      </c>
      <c r="AU95" s="149">
        <f t="shared" si="42"/>
        <v>90099916.109999999</v>
      </c>
      <c r="AV95" s="75"/>
      <c r="AW95" s="161" t="s">
        <v>487</v>
      </c>
      <c r="AX95" s="161" t="s">
        <v>409</v>
      </c>
      <c r="AY95" s="162" t="s">
        <v>492</v>
      </c>
      <c r="AZ95" s="162"/>
    </row>
    <row r="96" spans="1:52" s="130" customFormat="1" x14ac:dyDescent="0.55000000000000004">
      <c r="A96" s="153">
        <v>1427</v>
      </c>
      <c r="B96" s="153">
        <v>44</v>
      </c>
      <c r="C96" s="154" t="s">
        <v>493</v>
      </c>
      <c r="D96" s="155" t="s">
        <v>494</v>
      </c>
      <c r="E96" s="128">
        <v>1</v>
      </c>
      <c r="F96" s="127" t="str">
        <f t="shared" si="37"/>
        <v>مرد</v>
      </c>
      <c r="G96" s="127" t="s">
        <v>417</v>
      </c>
      <c r="H96" s="129"/>
      <c r="I96" s="127"/>
      <c r="J96" s="127"/>
      <c r="K96" s="129"/>
      <c r="L96" s="129"/>
      <c r="M96" s="129">
        <v>5099851691</v>
      </c>
      <c r="N96" s="127"/>
      <c r="O96" s="127"/>
      <c r="P96" s="142"/>
      <c r="Q96" s="143"/>
      <c r="R96" s="143"/>
      <c r="S96" s="143"/>
      <c r="T96" s="143"/>
      <c r="U96" s="143"/>
      <c r="V96" s="143"/>
      <c r="W96" s="143"/>
      <c r="X96" s="143"/>
      <c r="Y96" s="143"/>
      <c r="Z96" s="143"/>
      <c r="AA96" s="143"/>
      <c r="AB96" s="147">
        <v>1</v>
      </c>
      <c r="AC96" s="147"/>
      <c r="AD96" s="147"/>
      <c r="AE96" s="147"/>
      <c r="AF96" s="147" t="s">
        <v>91</v>
      </c>
      <c r="AG96" s="148" t="s">
        <v>269</v>
      </c>
      <c r="AH96" s="149">
        <v>7</v>
      </c>
      <c r="AI96" s="149"/>
      <c r="AJ96" s="149"/>
      <c r="AK96" s="149"/>
      <c r="AL96" s="149">
        <v>1795587</v>
      </c>
      <c r="AM96" s="149">
        <v>71200</v>
      </c>
      <c r="AN96" s="149">
        <f t="shared" si="38"/>
        <v>470876.8703333335</v>
      </c>
      <c r="AO96" s="149">
        <v>2337663.8703333335</v>
      </c>
      <c r="AP96" s="149">
        <f t="shared" si="39"/>
        <v>70129916.109999999</v>
      </c>
      <c r="AQ96" s="149">
        <v>9000000</v>
      </c>
      <c r="AR96" s="149">
        <f t="shared" si="40"/>
        <v>5308284</v>
      </c>
      <c r="AS96" s="149">
        <v>11000000</v>
      </c>
      <c r="AT96" s="149">
        <f t="shared" si="41"/>
        <v>25308284</v>
      </c>
      <c r="AU96" s="149">
        <f t="shared" si="42"/>
        <v>95438200.109999999</v>
      </c>
      <c r="AV96" s="75"/>
      <c r="AW96" s="161" t="s">
        <v>487</v>
      </c>
      <c r="AX96" s="161" t="s">
        <v>409</v>
      </c>
      <c r="AY96" s="162" t="s">
        <v>91</v>
      </c>
      <c r="AZ96" s="162"/>
    </row>
    <row r="97" spans="1:56" s="130" customFormat="1" x14ac:dyDescent="0.55000000000000004">
      <c r="A97" s="153">
        <v>1435</v>
      </c>
      <c r="B97" s="153">
        <v>45</v>
      </c>
      <c r="C97" s="154" t="s">
        <v>495</v>
      </c>
      <c r="D97" s="155" t="s">
        <v>496</v>
      </c>
      <c r="E97" s="128">
        <v>1</v>
      </c>
      <c r="F97" s="127" t="str">
        <f t="shared" si="37"/>
        <v>مرد</v>
      </c>
      <c r="G97" s="127" t="s">
        <v>497</v>
      </c>
      <c r="H97" s="129"/>
      <c r="I97" s="127"/>
      <c r="J97" s="127"/>
      <c r="K97" s="129"/>
      <c r="L97" s="129"/>
      <c r="M97" s="129">
        <v>2949664024</v>
      </c>
      <c r="N97" s="127"/>
      <c r="O97" s="127"/>
      <c r="P97" s="142"/>
      <c r="Q97" s="143"/>
      <c r="R97" s="143"/>
      <c r="S97" s="143"/>
      <c r="T97" s="143"/>
      <c r="U97" s="143"/>
      <c r="V97" s="143"/>
      <c r="W97" s="143"/>
      <c r="X97" s="143"/>
      <c r="Y97" s="143"/>
      <c r="Z97" s="143"/>
      <c r="AA97" s="143"/>
      <c r="AB97" s="147">
        <v>2</v>
      </c>
      <c r="AC97" s="147"/>
      <c r="AD97" s="147"/>
      <c r="AE97" s="147"/>
      <c r="AF97" s="147" t="s">
        <v>74</v>
      </c>
      <c r="AG97" s="148" t="s">
        <v>230</v>
      </c>
      <c r="AH97" s="149">
        <v>2</v>
      </c>
      <c r="AI97" s="149"/>
      <c r="AJ97" s="149"/>
      <c r="AK97" s="149"/>
      <c r="AL97" s="149">
        <v>1773348</v>
      </c>
      <c r="AM97" s="149">
        <v>70200</v>
      </c>
      <c r="AN97" s="149">
        <f t="shared" si="38"/>
        <v>493115.8703333335</v>
      </c>
      <c r="AO97" s="149">
        <v>2336663.8703333335</v>
      </c>
      <c r="AP97" s="149">
        <f t="shared" si="39"/>
        <v>70099916.109999999</v>
      </c>
      <c r="AQ97" s="149">
        <v>9000000</v>
      </c>
      <c r="AR97" s="149">
        <f t="shared" si="40"/>
        <v>10616568</v>
      </c>
      <c r="AS97" s="149">
        <v>11000000</v>
      </c>
      <c r="AT97" s="149">
        <f t="shared" si="41"/>
        <v>30616568</v>
      </c>
      <c r="AU97" s="149">
        <f t="shared" si="42"/>
        <v>100716484.11</v>
      </c>
      <c r="AV97" s="75"/>
      <c r="AW97" s="161" t="s">
        <v>487</v>
      </c>
      <c r="AX97" s="161" t="s">
        <v>409</v>
      </c>
      <c r="AY97" s="162" t="s">
        <v>492</v>
      </c>
      <c r="AZ97" s="162"/>
    </row>
    <row r="98" spans="1:56" s="130" customFormat="1" x14ac:dyDescent="0.55000000000000004">
      <c r="A98" s="153">
        <v>1437</v>
      </c>
      <c r="B98" s="153">
        <v>46</v>
      </c>
      <c r="C98" s="154" t="s">
        <v>498</v>
      </c>
      <c r="D98" s="155" t="s">
        <v>499</v>
      </c>
      <c r="E98" s="128">
        <v>1</v>
      </c>
      <c r="F98" s="127" t="str">
        <f t="shared" si="37"/>
        <v>مرد</v>
      </c>
      <c r="G98" s="127" t="s">
        <v>500</v>
      </c>
      <c r="H98" s="129"/>
      <c r="I98" s="127"/>
      <c r="J98" s="127"/>
      <c r="K98" s="129"/>
      <c r="L98" s="129"/>
      <c r="M98" s="129">
        <v>3781707563</v>
      </c>
      <c r="N98" s="127"/>
      <c r="O98" s="127"/>
      <c r="P98" s="142"/>
      <c r="Q98" s="143"/>
      <c r="R98" s="143"/>
      <c r="S98" s="143"/>
      <c r="T98" s="143"/>
      <c r="U98" s="143"/>
      <c r="V98" s="143"/>
      <c r="W98" s="143"/>
      <c r="X98" s="143"/>
      <c r="Y98" s="143"/>
      <c r="Z98" s="143"/>
      <c r="AA98" s="143"/>
      <c r="AB98" s="147">
        <v>1</v>
      </c>
      <c r="AC98" s="147"/>
      <c r="AD98" s="147"/>
      <c r="AE98" s="147"/>
      <c r="AF98" s="147" t="s">
        <v>501</v>
      </c>
      <c r="AG98" s="148" t="s">
        <v>387</v>
      </c>
      <c r="AH98" s="149" t="s">
        <v>388</v>
      </c>
      <c r="AI98" s="149"/>
      <c r="AJ98" s="149"/>
      <c r="AK98" s="149"/>
      <c r="AL98" s="149">
        <v>1795587</v>
      </c>
      <c r="AM98" s="149">
        <v>71200</v>
      </c>
      <c r="AN98" s="149">
        <f t="shared" si="38"/>
        <v>470876.8703333335</v>
      </c>
      <c r="AO98" s="149">
        <v>2337663.8703333335</v>
      </c>
      <c r="AP98" s="149">
        <f t="shared" si="39"/>
        <v>70129916.109999999</v>
      </c>
      <c r="AQ98" s="149">
        <v>9000000</v>
      </c>
      <c r="AR98" s="149">
        <f t="shared" si="40"/>
        <v>5308284</v>
      </c>
      <c r="AS98" s="149">
        <v>11000000</v>
      </c>
      <c r="AT98" s="149">
        <f t="shared" si="41"/>
        <v>25308284</v>
      </c>
      <c r="AU98" s="149">
        <f t="shared" si="42"/>
        <v>95438200.109999999</v>
      </c>
      <c r="AV98" s="75"/>
      <c r="AW98" s="161" t="s">
        <v>487</v>
      </c>
      <c r="AX98" s="161" t="s">
        <v>409</v>
      </c>
      <c r="AY98" s="162" t="s">
        <v>502</v>
      </c>
      <c r="AZ98" s="162"/>
    </row>
    <row r="99" spans="1:56" s="130" customFormat="1" x14ac:dyDescent="0.55000000000000004">
      <c r="A99" s="153">
        <v>1446</v>
      </c>
      <c r="B99" s="153">
        <v>47</v>
      </c>
      <c r="C99" s="154" t="s">
        <v>503</v>
      </c>
      <c r="D99" s="155" t="s">
        <v>504</v>
      </c>
      <c r="E99" s="128">
        <v>1</v>
      </c>
      <c r="F99" s="127" t="str">
        <f t="shared" si="37"/>
        <v>مرد</v>
      </c>
      <c r="G99" s="127" t="s">
        <v>505</v>
      </c>
      <c r="H99" s="129"/>
      <c r="I99" s="127"/>
      <c r="J99" s="127"/>
      <c r="K99" s="129"/>
      <c r="L99" s="129"/>
      <c r="M99" s="129">
        <v>2948756626</v>
      </c>
      <c r="N99" s="127"/>
      <c r="O99" s="127"/>
      <c r="P99" s="142"/>
      <c r="Q99" s="143"/>
      <c r="R99" s="143"/>
      <c r="S99" s="143"/>
      <c r="T99" s="143"/>
      <c r="U99" s="143"/>
      <c r="V99" s="143"/>
      <c r="W99" s="143"/>
      <c r="X99" s="143"/>
      <c r="Y99" s="143"/>
      <c r="Z99" s="143"/>
      <c r="AA99" s="143"/>
      <c r="AB99" s="147">
        <v>2</v>
      </c>
      <c r="AC99" s="147"/>
      <c r="AD99" s="147"/>
      <c r="AE99" s="147"/>
      <c r="AF99" s="147" t="s">
        <v>74</v>
      </c>
      <c r="AG99" s="148" t="s">
        <v>230</v>
      </c>
      <c r="AH99" s="149">
        <v>2</v>
      </c>
      <c r="AI99" s="149"/>
      <c r="AJ99" s="149"/>
      <c r="AK99" s="149"/>
      <c r="AL99" s="149">
        <v>1773348</v>
      </c>
      <c r="AM99" s="149">
        <v>70200</v>
      </c>
      <c r="AN99" s="149">
        <f t="shared" si="38"/>
        <v>493115.8703333335</v>
      </c>
      <c r="AO99" s="149">
        <v>2336663.8703333335</v>
      </c>
      <c r="AP99" s="149">
        <f t="shared" si="39"/>
        <v>70099916.109999999</v>
      </c>
      <c r="AQ99" s="149">
        <v>9000000</v>
      </c>
      <c r="AR99" s="149">
        <f t="shared" si="40"/>
        <v>10616568</v>
      </c>
      <c r="AS99" s="149">
        <v>11000000</v>
      </c>
      <c r="AT99" s="149">
        <f t="shared" si="41"/>
        <v>30616568</v>
      </c>
      <c r="AU99" s="149">
        <f t="shared" si="42"/>
        <v>100716484.11</v>
      </c>
      <c r="AV99" s="75"/>
      <c r="AW99" s="161" t="s">
        <v>487</v>
      </c>
      <c r="AX99" s="161" t="s">
        <v>409</v>
      </c>
      <c r="AY99" s="162" t="s">
        <v>492</v>
      </c>
      <c r="AZ99" s="162"/>
    </row>
    <row r="100" spans="1:56" s="130" customFormat="1" x14ac:dyDescent="0.55000000000000004">
      <c r="A100" s="153">
        <v>1450</v>
      </c>
      <c r="B100" s="153">
        <v>48</v>
      </c>
      <c r="C100" s="154" t="s">
        <v>506</v>
      </c>
      <c r="D100" s="155" t="s">
        <v>507</v>
      </c>
      <c r="E100" s="128">
        <v>1</v>
      </c>
      <c r="F100" s="127" t="str">
        <f t="shared" si="37"/>
        <v>مرد</v>
      </c>
      <c r="G100" s="127" t="s">
        <v>508</v>
      </c>
      <c r="H100" s="129"/>
      <c r="I100" s="127"/>
      <c r="J100" s="127"/>
      <c r="K100" s="129"/>
      <c r="L100" s="129"/>
      <c r="M100" s="129">
        <v>2949676391</v>
      </c>
      <c r="N100" s="127"/>
      <c r="O100" s="127"/>
      <c r="P100" s="142"/>
      <c r="Q100" s="143"/>
      <c r="R100" s="143"/>
      <c r="S100" s="143"/>
      <c r="T100" s="143"/>
      <c r="U100" s="143"/>
      <c r="V100" s="143"/>
      <c r="W100" s="143"/>
      <c r="X100" s="143"/>
      <c r="Y100" s="143"/>
      <c r="Z100" s="143"/>
      <c r="AA100" s="143"/>
      <c r="AB100" s="147">
        <v>3</v>
      </c>
      <c r="AC100" s="147"/>
      <c r="AD100" s="147"/>
      <c r="AE100" s="147"/>
      <c r="AF100" s="147" t="s">
        <v>74</v>
      </c>
      <c r="AG100" s="148" t="s">
        <v>230</v>
      </c>
      <c r="AH100" s="149">
        <v>2</v>
      </c>
      <c r="AI100" s="149"/>
      <c r="AJ100" s="149"/>
      <c r="AK100" s="149"/>
      <c r="AL100" s="149">
        <v>1773348</v>
      </c>
      <c r="AM100" s="149">
        <v>70200</v>
      </c>
      <c r="AN100" s="149">
        <f t="shared" si="38"/>
        <v>493115.8703333335</v>
      </c>
      <c r="AO100" s="149">
        <v>2336663.8703333335</v>
      </c>
      <c r="AP100" s="149">
        <f t="shared" si="39"/>
        <v>70099916.109999999</v>
      </c>
      <c r="AQ100" s="149">
        <v>9000000</v>
      </c>
      <c r="AR100" s="149">
        <f t="shared" si="40"/>
        <v>15924852</v>
      </c>
      <c r="AS100" s="149">
        <v>11000000</v>
      </c>
      <c r="AT100" s="149">
        <f t="shared" si="41"/>
        <v>35924852</v>
      </c>
      <c r="AU100" s="149">
        <f t="shared" si="42"/>
        <v>106024768.11</v>
      </c>
      <c r="AV100" s="75"/>
      <c r="AW100" s="161" t="s">
        <v>487</v>
      </c>
      <c r="AX100" s="161" t="s">
        <v>409</v>
      </c>
      <c r="AY100" s="162" t="s">
        <v>492</v>
      </c>
      <c r="AZ100" s="162"/>
    </row>
    <row r="101" spans="1:56" s="130" customFormat="1" x14ac:dyDescent="0.55000000000000004">
      <c r="A101" s="153">
        <v>1452</v>
      </c>
      <c r="B101" s="153">
        <v>49</v>
      </c>
      <c r="C101" s="154" t="s">
        <v>509</v>
      </c>
      <c r="D101" s="155" t="s">
        <v>510</v>
      </c>
      <c r="E101" s="128">
        <v>1</v>
      </c>
      <c r="F101" s="127" t="str">
        <f t="shared" si="37"/>
        <v>مرد</v>
      </c>
      <c r="G101" s="127" t="s">
        <v>511</v>
      </c>
      <c r="H101" s="129"/>
      <c r="I101" s="127"/>
      <c r="J101" s="127"/>
      <c r="K101" s="129"/>
      <c r="L101" s="129"/>
      <c r="M101" s="129" t="s">
        <v>512</v>
      </c>
      <c r="N101" s="127"/>
      <c r="O101" s="127"/>
      <c r="P101" s="142"/>
      <c r="Q101" s="143"/>
      <c r="R101" s="143"/>
      <c r="S101" s="143"/>
      <c r="T101" s="143"/>
      <c r="U101" s="143"/>
      <c r="V101" s="143"/>
      <c r="W101" s="143"/>
      <c r="X101" s="143"/>
      <c r="Y101" s="143"/>
      <c r="Z101" s="143"/>
      <c r="AA101" s="143"/>
      <c r="AB101" s="147">
        <v>1</v>
      </c>
      <c r="AC101" s="147"/>
      <c r="AD101" s="147"/>
      <c r="AE101" s="147"/>
      <c r="AF101" s="147" t="s">
        <v>80</v>
      </c>
      <c r="AG101" s="148" t="s">
        <v>275</v>
      </c>
      <c r="AH101" s="149">
        <v>13</v>
      </c>
      <c r="AI101" s="149"/>
      <c r="AJ101" s="149"/>
      <c r="AK101" s="149"/>
      <c r="AL101" s="149">
        <v>1837461</v>
      </c>
      <c r="AM101" s="149">
        <v>72800</v>
      </c>
      <c r="AN101" s="149">
        <f t="shared" si="38"/>
        <v>429002.8703333335</v>
      </c>
      <c r="AO101" s="149">
        <v>2339263.8703333335</v>
      </c>
      <c r="AP101" s="149">
        <f t="shared" si="39"/>
        <v>70177916.109999999</v>
      </c>
      <c r="AQ101" s="149">
        <v>9000000</v>
      </c>
      <c r="AR101" s="149">
        <f t="shared" si="40"/>
        <v>5308284</v>
      </c>
      <c r="AS101" s="149">
        <v>11000000</v>
      </c>
      <c r="AT101" s="149">
        <f t="shared" si="41"/>
        <v>25308284</v>
      </c>
      <c r="AU101" s="149">
        <f t="shared" si="42"/>
        <v>95486200.109999999</v>
      </c>
      <c r="AV101" s="75"/>
      <c r="AW101" s="161" t="s">
        <v>487</v>
      </c>
      <c r="AX101" s="161" t="s">
        <v>409</v>
      </c>
      <c r="AY101" s="162" t="s">
        <v>80</v>
      </c>
      <c r="AZ101" s="162"/>
    </row>
    <row r="102" spans="1:56" s="130" customFormat="1" x14ac:dyDescent="0.55000000000000004">
      <c r="A102" s="153">
        <v>1400</v>
      </c>
      <c r="B102" s="153">
        <v>50</v>
      </c>
      <c r="C102" s="154" t="s">
        <v>513</v>
      </c>
      <c r="D102" s="155" t="s">
        <v>514</v>
      </c>
      <c r="E102" s="128">
        <v>1</v>
      </c>
      <c r="F102" s="127" t="str">
        <f t="shared" si="37"/>
        <v>مرد</v>
      </c>
      <c r="G102" s="127" t="s">
        <v>515</v>
      </c>
      <c r="H102" s="129"/>
      <c r="I102" s="127"/>
      <c r="J102" s="127"/>
      <c r="K102" s="129"/>
      <c r="L102" s="129"/>
      <c r="M102" s="129">
        <v>4322059589</v>
      </c>
      <c r="N102" s="127"/>
      <c r="O102" s="127"/>
      <c r="P102" s="142"/>
      <c r="Q102" s="143"/>
      <c r="R102" s="143"/>
      <c r="S102" s="143"/>
      <c r="T102" s="143"/>
      <c r="U102" s="143"/>
      <c r="V102" s="143"/>
      <c r="W102" s="143"/>
      <c r="X102" s="143"/>
      <c r="Y102" s="143"/>
      <c r="Z102" s="143"/>
      <c r="AA102" s="143"/>
      <c r="AB102" s="147">
        <v>0</v>
      </c>
      <c r="AC102" s="147"/>
      <c r="AD102" s="147"/>
      <c r="AE102" s="147"/>
      <c r="AF102" s="147" t="s">
        <v>153</v>
      </c>
      <c r="AG102" s="148" t="s">
        <v>256</v>
      </c>
      <c r="AH102" s="149">
        <v>6</v>
      </c>
      <c r="AI102" s="149"/>
      <c r="AJ102" s="149"/>
      <c r="AK102" s="149"/>
      <c r="AL102" s="149">
        <v>1790351</v>
      </c>
      <c r="AM102" s="149">
        <v>71000</v>
      </c>
      <c r="AN102" s="149">
        <f t="shared" si="38"/>
        <v>211828.38100000005</v>
      </c>
      <c r="AO102" s="149">
        <v>2073179.3810000001</v>
      </c>
      <c r="AP102" s="149">
        <f t="shared" si="39"/>
        <v>62195381.43</v>
      </c>
      <c r="AQ102" s="149">
        <v>9000000</v>
      </c>
      <c r="AR102" s="149">
        <f t="shared" si="40"/>
        <v>0</v>
      </c>
      <c r="AS102" s="149">
        <v>11000000</v>
      </c>
      <c r="AT102" s="149">
        <f t="shared" si="41"/>
        <v>20000000</v>
      </c>
      <c r="AU102" s="149">
        <f t="shared" si="42"/>
        <v>82195381.430000007</v>
      </c>
      <c r="AV102" s="75"/>
      <c r="AW102" s="161" t="s">
        <v>516</v>
      </c>
      <c r="AX102" s="161"/>
      <c r="AY102" s="162" t="s">
        <v>153</v>
      </c>
      <c r="AZ102" s="162" t="s">
        <v>358</v>
      </c>
    </row>
    <row r="103" spans="1:56" s="130" customFormat="1" x14ac:dyDescent="0.55000000000000004">
      <c r="A103" s="153">
        <v>1416</v>
      </c>
      <c r="B103" s="153">
        <v>51</v>
      </c>
      <c r="C103" s="154" t="s">
        <v>517</v>
      </c>
      <c r="D103" s="155" t="s">
        <v>99</v>
      </c>
      <c r="E103" s="128">
        <v>1</v>
      </c>
      <c r="F103" s="127" t="str">
        <f t="shared" si="37"/>
        <v>مرد</v>
      </c>
      <c r="G103" s="127" t="s">
        <v>64</v>
      </c>
      <c r="H103" s="129"/>
      <c r="I103" s="127"/>
      <c r="J103" s="127"/>
      <c r="K103" s="129"/>
      <c r="L103" s="129"/>
      <c r="M103" s="129">
        <v>4321001536</v>
      </c>
      <c r="N103" s="127"/>
      <c r="O103" s="127"/>
      <c r="P103" s="142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7">
        <v>2</v>
      </c>
      <c r="AC103" s="147"/>
      <c r="AD103" s="147"/>
      <c r="AE103" s="147"/>
      <c r="AF103" s="147" t="s">
        <v>518</v>
      </c>
      <c r="AG103" s="148" t="s">
        <v>519</v>
      </c>
      <c r="AH103" s="149">
        <v>13</v>
      </c>
      <c r="AI103" s="149"/>
      <c r="AJ103" s="149"/>
      <c r="AK103" s="149"/>
      <c r="AL103" s="149">
        <v>1837461</v>
      </c>
      <c r="AM103" s="149">
        <v>72800</v>
      </c>
      <c r="AN103" s="149">
        <f t="shared" si="38"/>
        <v>429002.8703333335</v>
      </c>
      <c r="AO103" s="149">
        <v>2339263.8703333335</v>
      </c>
      <c r="AP103" s="149">
        <f t="shared" si="39"/>
        <v>70177916.109999999</v>
      </c>
      <c r="AQ103" s="149">
        <v>9000000</v>
      </c>
      <c r="AR103" s="149">
        <f t="shared" si="40"/>
        <v>10616568</v>
      </c>
      <c r="AS103" s="149">
        <v>11000000</v>
      </c>
      <c r="AT103" s="149">
        <f t="shared" si="41"/>
        <v>30616568</v>
      </c>
      <c r="AU103" s="149">
        <f t="shared" si="42"/>
        <v>100794484.11</v>
      </c>
      <c r="AV103" s="75"/>
      <c r="AW103" s="161" t="s">
        <v>516</v>
      </c>
      <c r="AX103" s="161"/>
      <c r="AY103" s="162" t="s">
        <v>518</v>
      </c>
      <c r="AZ103" s="162"/>
    </row>
    <row r="104" spans="1:56" s="130" customFormat="1" x14ac:dyDescent="0.55000000000000004">
      <c r="A104" s="153">
        <v>1420</v>
      </c>
      <c r="B104" s="153">
        <v>52</v>
      </c>
      <c r="C104" s="154" t="s">
        <v>520</v>
      </c>
      <c r="D104" s="155" t="s">
        <v>521</v>
      </c>
      <c r="E104" s="128">
        <v>1</v>
      </c>
      <c r="F104" s="127" t="str">
        <f t="shared" si="37"/>
        <v>مرد</v>
      </c>
      <c r="G104" s="127" t="s">
        <v>522</v>
      </c>
      <c r="H104" s="129"/>
      <c r="I104" s="127"/>
      <c r="J104" s="127"/>
      <c r="K104" s="129"/>
      <c r="L104" s="129"/>
      <c r="M104" s="129">
        <v>1600742531</v>
      </c>
      <c r="N104" s="127"/>
      <c r="O104" s="127"/>
      <c r="P104" s="142"/>
      <c r="Q104" s="143"/>
      <c r="R104" s="143"/>
      <c r="S104" s="143"/>
      <c r="T104" s="143"/>
      <c r="U104" s="143"/>
      <c r="V104" s="143"/>
      <c r="W104" s="143"/>
      <c r="X104" s="143"/>
      <c r="Y104" s="143"/>
      <c r="Z104" s="143"/>
      <c r="AA104" s="143"/>
      <c r="AB104" s="147">
        <v>0</v>
      </c>
      <c r="AC104" s="147"/>
      <c r="AD104" s="147"/>
      <c r="AE104" s="147"/>
      <c r="AF104" s="147" t="s">
        <v>153</v>
      </c>
      <c r="AG104" s="148" t="s">
        <v>256</v>
      </c>
      <c r="AH104" s="149">
        <v>6</v>
      </c>
      <c r="AI104" s="149"/>
      <c r="AJ104" s="149"/>
      <c r="AK104" s="149"/>
      <c r="AL104" s="149">
        <v>1790351</v>
      </c>
      <c r="AM104" s="149">
        <v>71000</v>
      </c>
      <c r="AN104" s="149">
        <f t="shared" si="38"/>
        <v>141696.53899999987</v>
      </c>
      <c r="AO104" s="149">
        <v>2003047.5389999999</v>
      </c>
      <c r="AP104" s="149">
        <f t="shared" si="39"/>
        <v>60091426.169999994</v>
      </c>
      <c r="AQ104" s="149">
        <v>9000000</v>
      </c>
      <c r="AR104" s="149">
        <f t="shared" si="40"/>
        <v>0</v>
      </c>
      <c r="AS104" s="149">
        <v>11000000</v>
      </c>
      <c r="AT104" s="149">
        <f t="shared" si="41"/>
        <v>20000000</v>
      </c>
      <c r="AU104" s="149">
        <f t="shared" si="42"/>
        <v>80091426.169999987</v>
      </c>
      <c r="AV104" s="75"/>
      <c r="AW104" s="161" t="s">
        <v>516</v>
      </c>
      <c r="AX104" s="161"/>
      <c r="AY104" s="162" t="s">
        <v>153</v>
      </c>
      <c r="AZ104" s="162" t="s">
        <v>358</v>
      </c>
    </row>
    <row r="105" spans="1:56" s="130" customFormat="1" x14ac:dyDescent="0.55000000000000004">
      <c r="A105" s="153">
        <v>1429</v>
      </c>
      <c r="B105" s="153">
        <v>53</v>
      </c>
      <c r="C105" s="154" t="s">
        <v>523</v>
      </c>
      <c r="D105" s="155" t="s">
        <v>524</v>
      </c>
      <c r="E105" s="128">
        <v>1</v>
      </c>
      <c r="F105" s="127" t="str">
        <f t="shared" si="37"/>
        <v>مرد</v>
      </c>
      <c r="G105" s="127" t="s">
        <v>525</v>
      </c>
      <c r="H105" s="129"/>
      <c r="I105" s="127"/>
      <c r="J105" s="127"/>
      <c r="K105" s="129"/>
      <c r="L105" s="129"/>
      <c r="M105" s="129">
        <v>1719763852</v>
      </c>
      <c r="N105" s="127"/>
      <c r="O105" s="127"/>
      <c r="P105" s="142"/>
      <c r="Q105" s="143"/>
      <c r="R105" s="143"/>
      <c r="S105" s="143"/>
      <c r="T105" s="143"/>
      <c r="U105" s="143"/>
      <c r="V105" s="143"/>
      <c r="W105" s="143"/>
      <c r="X105" s="143"/>
      <c r="Y105" s="143"/>
      <c r="Z105" s="143"/>
      <c r="AA105" s="143"/>
      <c r="AB105" s="147">
        <v>3</v>
      </c>
      <c r="AC105" s="147"/>
      <c r="AD105" s="147"/>
      <c r="AE105" s="147"/>
      <c r="AF105" s="147" t="s">
        <v>355</v>
      </c>
      <c r="AG105" s="148" t="s">
        <v>356</v>
      </c>
      <c r="AH105" s="149">
        <v>7</v>
      </c>
      <c r="AI105" s="149"/>
      <c r="AJ105" s="149"/>
      <c r="AK105" s="149"/>
      <c r="AL105" s="149">
        <v>1795587</v>
      </c>
      <c r="AM105" s="149">
        <v>71200</v>
      </c>
      <c r="AN105" s="149">
        <f t="shared" si="38"/>
        <v>265587.2620000001</v>
      </c>
      <c r="AO105" s="149">
        <v>2132374.2620000001</v>
      </c>
      <c r="AP105" s="149">
        <f t="shared" si="39"/>
        <v>63971227.859999999</v>
      </c>
      <c r="AQ105" s="149">
        <v>9000000</v>
      </c>
      <c r="AR105" s="149">
        <f t="shared" si="40"/>
        <v>15924852</v>
      </c>
      <c r="AS105" s="149">
        <v>11000000</v>
      </c>
      <c r="AT105" s="149">
        <f t="shared" si="41"/>
        <v>35924852</v>
      </c>
      <c r="AU105" s="149">
        <f t="shared" si="42"/>
        <v>99896079.859999999</v>
      </c>
      <c r="AV105" s="75"/>
      <c r="AW105" s="161" t="s">
        <v>516</v>
      </c>
      <c r="AX105" s="161"/>
      <c r="AY105" s="162" t="s">
        <v>355</v>
      </c>
      <c r="AZ105" s="162"/>
    </row>
    <row r="106" spans="1:56" s="130" customFormat="1" x14ac:dyDescent="0.55000000000000004">
      <c r="A106" s="153">
        <v>1439</v>
      </c>
      <c r="B106" s="153">
        <v>54</v>
      </c>
      <c r="C106" s="154" t="s">
        <v>526</v>
      </c>
      <c r="D106" s="155" t="s">
        <v>527</v>
      </c>
      <c r="E106" s="128">
        <v>1</v>
      </c>
      <c r="F106" s="127" t="str">
        <f t="shared" si="37"/>
        <v>مرد</v>
      </c>
      <c r="G106" s="127" t="s">
        <v>528</v>
      </c>
      <c r="H106" s="129"/>
      <c r="I106" s="127"/>
      <c r="J106" s="127"/>
      <c r="K106" s="129"/>
      <c r="L106" s="129"/>
      <c r="M106" s="129">
        <v>1590041208</v>
      </c>
      <c r="N106" s="127"/>
      <c r="O106" s="127"/>
      <c r="P106" s="142"/>
      <c r="Q106" s="143"/>
      <c r="R106" s="143"/>
      <c r="S106" s="143"/>
      <c r="T106" s="143"/>
      <c r="U106" s="143"/>
      <c r="V106" s="143"/>
      <c r="W106" s="143"/>
      <c r="X106" s="143"/>
      <c r="Y106" s="143"/>
      <c r="Z106" s="143"/>
      <c r="AA106" s="143"/>
      <c r="AB106" s="147">
        <v>0</v>
      </c>
      <c r="AC106" s="147"/>
      <c r="AD106" s="147"/>
      <c r="AE106" s="147"/>
      <c r="AF106" s="147" t="s">
        <v>74</v>
      </c>
      <c r="AG106" s="148" t="s">
        <v>230</v>
      </c>
      <c r="AH106" s="149">
        <v>2</v>
      </c>
      <c r="AI106" s="149"/>
      <c r="AJ106" s="149"/>
      <c r="AK106" s="149"/>
      <c r="AL106" s="149">
        <v>1773348</v>
      </c>
      <c r="AM106" s="149">
        <v>70200</v>
      </c>
      <c r="AN106" s="149">
        <f t="shared" si="38"/>
        <v>287826.2620000001</v>
      </c>
      <c r="AO106" s="149">
        <v>2131374.2620000001</v>
      </c>
      <c r="AP106" s="149">
        <f t="shared" si="39"/>
        <v>63941227.859999999</v>
      </c>
      <c r="AQ106" s="149">
        <v>9000000</v>
      </c>
      <c r="AR106" s="149">
        <f t="shared" si="40"/>
        <v>0</v>
      </c>
      <c r="AS106" s="149">
        <v>11000000</v>
      </c>
      <c r="AT106" s="149">
        <f t="shared" si="41"/>
        <v>20000000</v>
      </c>
      <c r="AU106" s="149">
        <f t="shared" si="42"/>
        <v>83941227.859999999</v>
      </c>
      <c r="AV106" s="75"/>
      <c r="AW106" s="161" t="s">
        <v>516</v>
      </c>
      <c r="AX106" s="161"/>
      <c r="AY106" s="162" t="s">
        <v>492</v>
      </c>
      <c r="AZ106" s="162"/>
    </row>
    <row r="107" spans="1:56" x14ac:dyDescent="0.55000000000000004">
      <c r="BA107" s="130"/>
      <c r="BB107" s="130"/>
      <c r="BC107" s="130"/>
      <c r="BD107" s="130"/>
    </row>
  </sheetData>
  <sortState ref="A4:AV31">
    <sortCondition ref="D4:D31"/>
  </sortState>
  <mergeCells count="4">
    <mergeCell ref="E3:F3"/>
    <mergeCell ref="N3:O3"/>
    <mergeCell ref="P2:AA2"/>
    <mergeCell ref="AB2:AU2"/>
  </mergeCells>
  <pageMargins left="0.74803149606299213" right="0.74803149606299213" top="0.43307086614173229" bottom="0.31496062992125984" header="0.47244094488188981" footer="0.35433070866141736"/>
  <pageSetup paperSize="9" scale="73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3"/>
  <sheetViews>
    <sheetView rightToLeft="1" topLeftCell="A4" zoomScale="140" zoomScaleNormal="140" workbookViewId="0">
      <selection activeCell="C18" sqref="C18"/>
    </sheetView>
  </sheetViews>
  <sheetFormatPr defaultRowHeight="12.75" x14ac:dyDescent="0.2"/>
  <cols>
    <col min="1" max="1" width="3.140625" customWidth="1"/>
    <col min="3" max="3" width="49.28515625" customWidth="1"/>
    <col min="4" max="4" width="23.42578125" customWidth="1"/>
    <col min="5" max="5" width="3" customWidth="1"/>
    <col min="6" max="6" width="3.7109375" customWidth="1"/>
    <col min="7" max="7" width="21" customWidth="1"/>
    <col min="8" max="8" width="17.5703125" customWidth="1"/>
    <col min="9" max="9" width="20.28515625" bestFit="1" customWidth="1"/>
    <col min="10" max="10" width="12.42578125" bestFit="1" customWidth="1"/>
  </cols>
  <sheetData>
    <row r="2" spans="2:9" ht="24.75" x14ac:dyDescent="0.2">
      <c r="E2" s="93"/>
    </row>
    <row r="3" spans="2:9" ht="39.75" x14ac:dyDescent="0.2">
      <c r="B3" s="192" t="s">
        <v>38</v>
      </c>
      <c r="C3" s="192"/>
      <c r="D3" s="192"/>
      <c r="E3" s="112"/>
    </row>
    <row r="4" spans="2:9" ht="26.25" customHeight="1" x14ac:dyDescent="0.2">
      <c r="B4" s="193" t="s">
        <v>215</v>
      </c>
      <c r="C4" s="193"/>
      <c r="D4" s="193"/>
      <c r="E4" s="113"/>
    </row>
    <row r="5" spans="2:9" ht="30" customHeight="1" thickBot="1" x14ac:dyDescent="0.25">
      <c r="B5" s="194" t="s">
        <v>214</v>
      </c>
      <c r="C5" s="194"/>
      <c r="D5" s="194"/>
      <c r="E5" s="113"/>
    </row>
    <row r="6" spans="2:9" ht="22.5" customHeight="1" x14ac:dyDescent="0.2">
      <c r="B6" s="195" t="s">
        <v>195</v>
      </c>
      <c r="C6" s="195" t="s">
        <v>196</v>
      </c>
      <c r="D6" s="184" t="s">
        <v>197</v>
      </c>
      <c r="E6" s="94"/>
      <c r="G6" s="186" t="s">
        <v>210</v>
      </c>
      <c r="H6" s="187"/>
      <c r="I6" s="187"/>
    </row>
    <row r="7" spans="2:9" ht="27" thickBot="1" x14ac:dyDescent="0.25">
      <c r="B7" s="196"/>
      <c r="C7" s="196"/>
      <c r="D7" s="185"/>
      <c r="E7" s="95"/>
      <c r="G7" s="114" t="s">
        <v>211</v>
      </c>
      <c r="H7" s="114" t="s">
        <v>212</v>
      </c>
      <c r="I7" s="114" t="s">
        <v>213</v>
      </c>
    </row>
    <row r="8" spans="2:9" ht="24" customHeight="1" x14ac:dyDescent="0.6">
      <c r="B8" s="96">
        <v>1</v>
      </c>
      <c r="C8" s="97" t="s">
        <v>198</v>
      </c>
      <c r="D8" s="98">
        <v>12500000</v>
      </c>
      <c r="E8" s="99"/>
      <c r="G8" s="115">
        <v>150000000</v>
      </c>
      <c r="H8" s="116">
        <f>G8/12</f>
        <v>12500000</v>
      </c>
      <c r="I8" s="116">
        <f>H8/31</f>
        <v>403225.80645161291</v>
      </c>
    </row>
    <row r="9" spans="2:9" ht="24" customHeight="1" x14ac:dyDescent="0.6">
      <c r="B9" s="100">
        <v>2</v>
      </c>
      <c r="C9" s="101" t="s">
        <v>199</v>
      </c>
      <c r="D9" s="102">
        <v>30000000</v>
      </c>
      <c r="E9" s="99"/>
      <c r="G9" s="115">
        <f>30000000*12</f>
        <v>360000000</v>
      </c>
      <c r="H9" s="116">
        <f>G9/12</f>
        <v>30000000</v>
      </c>
      <c r="I9" s="116">
        <f t="shared" ref="I9:I13" si="0">H9/31</f>
        <v>967741.93548387091</v>
      </c>
    </row>
    <row r="10" spans="2:9" ht="24" customHeight="1" x14ac:dyDescent="0.6">
      <c r="B10" s="100">
        <v>3</v>
      </c>
      <c r="C10" s="101" t="s">
        <v>200</v>
      </c>
      <c r="D10" s="102">
        <f>1500000*31/2</f>
        <v>23250000</v>
      </c>
      <c r="E10" s="99"/>
      <c r="G10" s="115"/>
      <c r="H10" s="116">
        <f>G10/12</f>
        <v>0</v>
      </c>
      <c r="I10" s="116">
        <f t="shared" si="0"/>
        <v>0</v>
      </c>
    </row>
    <row r="11" spans="2:9" ht="24" customHeight="1" x14ac:dyDescent="0.6">
      <c r="B11" s="100">
        <v>4</v>
      </c>
      <c r="C11" s="101" t="s">
        <v>201</v>
      </c>
      <c r="D11" s="102">
        <v>708000</v>
      </c>
      <c r="E11" s="99"/>
      <c r="G11" s="115">
        <v>8500000</v>
      </c>
      <c r="H11" s="116">
        <f>G11/12</f>
        <v>708333.33333333337</v>
      </c>
      <c r="I11" s="116">
        <f t="shared" si="0"/>
        <v>22849.4623655914</v>
      </c>
    </row>
    <row r="12" spans="2:9" ht="24" customHeight="1" x14ac:dyDescent="0.6">
      <c r="B12" s="100">
        <v>5</v>
      </c>
      <c r="C12" s="101" t="s">
        <v>202</v>
      </c>
      <c r="D12" s="102">
        <v>41666000</v>
      </c>
      <c r="E12" s="99"/>
      <c r="G12" s="115">
        <v>500000000</v>
      </c>
      <c r="H12" s="116">
        <f>G12/12</f>
        <v>41666666.666666664</v>
      </c>
      <c r="I12" s="116">
        <f t="shared" si="0"/>
        <v>1344086.0215053763</v>
      </c>
    </row>
    <row r="13" spans="2:9" ht="24" customHeight="1" thickBot="1" x14ac:dyDescent="0.65">
      <c r="B13" s="100">
        <v>6</v>
      </c>
      <c r="C13" s="103" t="s">
        <v>203</v>
      </c>
      <c r="D13" s="104">
        <v>0</v>
      </c>
      <c r="E13" s="99"/>
      <c r="G13" s="115"/>
      <c r="H13" s="116">
        <f>G13</f>
        <v>0</v>
      </c>
      <c r="I13" s="116">
        <f t="shared" si="0"/>
        <v>0</v>
      </c>
    </row>
    <row r="14" spans="2:9" ht="29.25" thickBot="1" x14ac:dyDescent="0.65">
      <c r="B14" s="188" t="s">
        <v>10</v>
      </c>
      <c r="C14" s="189"/>
      <c r="D14" s="105">
        <f>SUM(D8:D13)</f>
        <v>108124000</v>
      </c>
      <c r="E14" s="106"/>
      <c r="G14" s="115">
        <f>SUM(G8:G13)</f>
        <v>1018500000</v>
      </c>
      <c r="H14" s="116">
        <f>SUM(H8:H13)</f>
        <v>84875000</v>
      </c>
      <c r="I14" s="116">
        <f>SUM(I8:I13)</f>
        <v>2737903.2258064514</v>
      </c>
    </row>
    <row r="15" spans="2:9" ht="10.5" customHeight="1" thickBot="1" x14ac:dyDescent="0.65">
      <c r="B15" s="107"/>
      <c r="C15" s="107"/>
      <c r="D15" s="107"/>
      <c r="E15" s="108"/>
      <c r="G15" s="117"/>
      <c r="H15" s="117"/>
      <c r="I15" s="117"/>
    </row>
    <row r="16" spans="2:9" ht="26.25" thickBot="1" x14ac:dyDescent="0.25">
      <c r="B16" s="190" t="s">
        <v>204</v>
      </c>
      <c r="C16" s="191"/>
      <c r="D16" s="109">
        <v>31</v>
      </c>
      <c r="E16" s="110"/>
    </row>
    <row r="17" spans="4:7" ht="29.25" thickBot="1" x14ac:dyDescent="0.65">
      <c r="D17" s="105">
        <f>D14/D16</f>
        <v>3487870.9677419355</v>
      </c>
      <c r="G17" s="117"/>
    </row>
    <row r="18" spans="4:7" ht="72" customHeight="1" x14ac:dyDescent="0.6">
      <c r="D18" s="121" t="s">
        <v>179</v>
      </c>
      <c r="G18" s="117"/>
    </row>
    <row r="19" spans="4:7" ht="24" customHeight="1" x14ac:dyDescent="0.2">
      <c r="E19" s="106"/>
    </row>
    <row r="20" spans="4:7" ht="24" customHeight="1" x14ac:dyDescent="0.2">
      <c r="E20" s="118"/>
    </row>
    <row r="21" spans="4:7" ht="24" customHeight="1" x14ac:dyDescent="0.2"/>
    <row r="22" spans="4:7" ht="15.75" x14ac:dyDescent="0.4">
      <c r="F22" s="120"/>
    </row>
    <row r="23" spans="4:7" ht="26.25" x14ac:dyDescent="0.2">
      <c r="F23" s="119"/>
    </row>
  </sheetData>
  <mergeCells count="9">
    <mergeCell ref="D6:D7"/>
    <mergeCell ref="G6:I6"/>
    <mergeCell ref="B14:C14"/>
    <mergeCell ref="B16:C16"/>
    <mergeCell ref="B3:D3"/>
    <mergeCell ref="B4:D4"/>
    <mergeCell ref="B5:D5"/>
    <mergeCell ref="B6:B7"/>
    <mergeCell ref="C6:C7"/>
  </mergeCells>
  <printOptions horizontalCentered="1"/>
  <pageMargins left="0.31" right="0.26" top="0.35433070866141703" bottom="0.31496062992126" header="0.31496062992126" footer="0.31496062992126"/>
  <pageSetup paperSize="11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17"/>
  <sheetViews>
    <sheetView rightToLeft="1" zoomScale="60" zoomScaleNormal="60" workbookViewId="0">
      <selection activeCell="C1" sqref="C1:AK1"/>
    </sheetView>
  </sheetViews>
  <sheetFormatPr defaultRowHeight="18" x14ac:dyDescent="0.2"/>
  <cols>
    <col min="1" max="1" width="6.42578125" style="2" bestFit="1" customWidth="1"/>
    <col min="2" max="2" width="7.140625" style="2" bestFit="1" customWidth="1"/>
    <col min="3" max="3" width="5.28515625" style="2" customWidth="1"/>
    <col min="4" max="4" width="12.28515625" style="3" bestFit="1" customWidth="1"/>
    <col min="5" max="5" width="16" style="3" bestFit="1" customWidth="1"/>
    <col min="6" max="6" width="4.7109375" style="2" bestFit="1" customWidth="1"/>
    <col min="7" max="7" width="7.7109375" style="13" customWidth="1"/>
    <col min="8" max="8" width="11.28515625" style="13" bestFit="1" customWidth="1"/>
    <col min="9" max="9" width="12.28515625" style="2" bestFit="1" customWidth="1"/>
    <col min="10" max="10" width="12.28515625" style="2" customWidth="1"/>
    <col min="11" max="11" width="11.42578125" style="2" customWidth="1"/>
    <col min="12" max="12" width="11" style="2" bestFit="1" customWidth="1"/>
    <col min="13" max="13" width="5" style="2" bestFit="1" customWidth="1"/>
    <col min="14" max="14" width="12" style="2" bestFit="1" customWidth="1"/>
    <col min="15" max="15" width="6.85546875" style="2" bestFit="1" customWidth="1"/>
    <col min="16" max="16" width="13.42578125" style="2" customWidth="1"/>
    <col min="17" max="17" width="12" style="2" bestFit="1" customWidth="1"/>
    <col min="18" max="18" width="13.42578125" style="2" bestFit="1" customWidth="1"/>
    <col min="19" max="19" width="13.5703125" style="2" bestFit="1" customWidth="1"/>
    <col min="20" max="20" width="13.5703125" style="2" customWidth="1"/>
    <col min="21" max="21" width="5" style="2" bestFit="1" customWidth="1"/>
    <col min="22" max="22" width="14.42578125" style="2" bestFit="1" customWidth="1"/>
    <col min="23" max="23" width="8.42578125" style="2" bestFit="1" customWidth="1"/>
    <col min="24" max="24" width="14.42578125" style="2" bestFit="1" customWidth="1"/>
    <col min="25" max="25" width="5" style="2" bestFit="1" customWidth="1"/>
    <col min="26" max="26" width="14.42578125" style="2" customWidth="1"/>
    <col min="27" max="27" width="6.85546875" style="2" bestFit="1" customWidth="1"/>
    <col min="28" max="28" width="14.42578125" style="2" customWidth="1"/>
    <col min="29" max="29" width="5" style="2" bestFit="1" customWidth="1"/>
    <col min="30" max="30" width="14.42578125" style="2" customWidth="1"/>
    <col min="31" max="31" width="5.5703125" style="2" bestFit="1" customWidth="1"/>
    <col min="32" max="32" width="14.42578125" style="2" customWidth="1"/>
    <col min="33" max="33" width="13.5703125" style="2" bestFit="1" customWidth="1"/>
    <col min="34" max="34" width="13.5703125" style="2" customWidth="1"/>
    <col min="35" max="35" width="13.5703125" style="2" bestFit="1" customWidth="1"/>
    <col min="36" max="36" width="13.5703125" style="2" customWidth="1"/>
    <col min="37" max="37" width="16.7109375" style="2" customWidth="1"/>
    <col min="38" max="38" width="14.42578125" style="2" bestFit="1" customWidth="1"/>
    <col min="39" max="39" width="14" style="2" bestFit="1" customWidth="1"/>
    <col min="40" max="40" width="17.28515625" style="2" customWidth="1"/>
    <col min="41" max="41" width="17.5703125" style="2" customWidth="1"/>
    <col min="42" max="16384" width="9.140625" style="2"/>
  </cols>
  <sheetData>
    <row r="1" spans="1:38" ht="24" x14ac:dyDescent="0.2"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</row>
    <row r="2" spans="1:38" ht="25.5" customHeight="1" thickBot="1" x14ac:dyDescent="0.25">
      <c r="C2" s="221" t="s">
        <v>334</v>
      </c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</row>
    <row r="3" spans="1:38" ht="18.75" thickBot="1" x14ac:dyDescent="0.25">
      <c r="A3" s="10"/>
      <c r="C3" s="214" t="s">
        <v>14</v>
      </c>
      <c r="D3" s="216" t="s">
        <v>15</v>
      </c>
      <c r="E3" s="218" t="s">
        <v>16</v>
      </c>
      <c r="F3" s="209" t="s">
        <v>51</v>
      </c>
      <c r="G3" s="211" t="s">
        <v>335</v>
      </c>
      <c r="H3" s="211" t="s">
        <v>336</v>
      </c>
      <c r="I3" s="197" t="s">
        <v>17</v>
      </c>
      <c r="J3" s="198"/>
      <c r="K3" s="202" t="s">
        <v>9</v>
      </c>
      <c r="L3" s="202" t="s">
        <v>23</v>
      </c>
      <c r="M3" s="204" t="s">
        <v>18</v>
      </c>
      <c r="N3" s="205"/>
      <c r="O3" s="205"/>
      <c r="P3" s="206"/>
      <c r="Q3" s="202" t="s">
        <v>70</v>
      </c>
      <c r="R3" s="202" t="s">
        <v>69</v>
      </c>
      <c r="S3" s="197" t="s">
        <v>19</v>
      </c>
      <c r="T3" s="198"/>
      <c r="U3" s="199" t="s">
        <v>20</v>
      </c>
      <c r="V3" s="200"/>
      <c r="W3" s="200"/>
      <c r="X3" s="201"/>
      <c r="Y3" s="199" t="s">
        <v>180</v>
      </c>
      <c r="Z3" s="200"/>
      <c r="AA3" s="200" t="s">
        <v>180</v>
      </c>
      <c r="AB3" s="201"/>
      <c r="AC3" s="199" t="s">
        <v>332</v>
      </c>
      <c r="AD3" s="200"/>
      <c r="AE3" s="200" t="s">
        <v>332</v>
      </c>
      <c r="AF3" s="201"/>
      <c r="AG3" s="197" t="s">
        <v>21</v>
      </c>
      <c r="AH3" s="198"/>
      <c r="AI3" s="197" t="s">
        <v>22</v>
      </c>
      <c r="AJ3" s="198"/>
      <c r="AK3" s="197" t="s">
        <v>24</v>
      </c>
      <c r="AL3" s="198" t="s">
        <v>24</v>
      </c>
    </row>
    <row r="4" spans="1:38" ht="18.75" thickBot="1" x14ac:dyDescent="0.25">
      <c r="B4" s="2" t="s">
        <v>35</v>
      </c>
      <c r="C4" s="215"/>
      <c r="D4" s="217"/>
      <c r="E4" s="219"/>
      <c r="F4" s="210"/>
      <c r="G4" s="212"/>
      <c r="H4" s="212"/>
      <c r="I4" s="137">
        <v>1401</v>
      </c>
      <c r="J4" s="137">
        <v>1402</v>
      </c>
      <c r="K4" s="203"/>
      <c r="L4" s="203"/>
      <c r="M4" s="83" t="s">
        <v>181</v>
      </c>
      <c r="N4" s="63" t="s">
        <v>337</v>
      </c>
      <c r="O4" s="83" t="s">
        <v>181</v>
      </c>
      <c r="P4" s="63" t="s">
        <v>338</v>
      </c>
      <c r="Q4" s="203"/>
      <c r="R4" s="203"/>
      <c r="S4" s="137">
        <v>1401</v>
      </c>
      <c r="T4" s="137">
        <v>1402</v>
      </c>
      <c r="U4" s="83" t="s">
        <v>181</v>
      </c>
      <c r="V4" s="63" t="s">
        <v>337</v>
      </c>
      <c r="W4" s="83" t="s">
        <v>181</v>
      </c>
      <c r="X4" s="63" t="s">
        <v>338</v>
      </c>
      <c r="Y4" s="83" t="s">
        <v>181</v>
      </c>
      <c r="Z4" s="63" t="s">
        <v>337</v>
      </c>
      <c r="AA4" s="83" t="s">
        <v>181</v>
      </c>
      <c r="AB4" s="63" t="s">
        <v>338</v>
      </c>
      <c r="AC4" s="83" t="s">
        <v>181</v>
      </c>
      <c r="AD4" s="63" t="s">
        <v>337</v>
      </c>
      <c r="AE4" s="83" t="s">
        <v>181</v>
      </c>
      <c r="AF4" s="63" t="s">
        <v>338</v>
      </c>
      <c r="AG4" s="137">
        <v>1401</v>
      </c>
      <c r="AH4" s="137">
        <v>1402</v>
      </c>
      <c r="AI4" s="137">
        <v>1401</v>
      </c>
      <c r="AJ4" s="137">
        <v>1402</v>
      </c>
      <c r="AK4" s="137">
        <v>1403</v>
      </c>
      <c r="AL4" s="137">
        <v>1404</v>
      </c>
    </row>
    <row r="5" spans="1:38" s="67" customFormat="1" ht="24.75" customHeight="1" x14ac:dyDescent="0.2">
      <c r="A5" s="67">
        <v>1200</v>
      </c>
      <c r="B5" s="67">
        <f>VLOOKUP($A5,'اطلاعات پرسنل'!$A$1:$AL$102,16,0)</f>
        <v>0</v>
      </c>
      <c r="C5" s="66">
        <v>1</v>
      </c>
      <c r="D5" s="68" t="str">
        <f>VLOOKUP($A5,'اطلاعات پرسنل'!$A$1:$AL$102,3,0)</f>
        <v>محسن</v>
      </c>
      <c r="E5" s="68" t="str">
        <f>VLOOKUP($A5,'اطلاعات پرسنل'!$A$1:$AL$111,4,0)</f>
        <v>ابراهیمی آتانی</v>
      </c>
      <c r="F5" s="69">
        <f>VLOOKUP($A5,'اطلاعات پرسنل'!$A$1:$AL$111,17,0)</f>
        <v>13</v>
      </c>
      <c r="G5" s="70">
        <v>30.5</v>
      </c>
      <c r="H5" s="138">
        <v>30.5</v>
      </c>
      <c r="I5" s="71">
        <f>VLOOKUP($A5,'اطلاعات پرسنل'!$A$1:$BW$111,21,0)</f>
        <v>2067435</v>
      </c>
      <c r="J5" s="71">
        <f>VLOOKUP($A5,'اطلاعات پرسنل'!$A$1:$BW$111,41,0)</f>
        <v>2657992.35</v>
      </c>
      <c r="K5" s="71">
        <f>VLOOKUP($A5,'اطلاعات پرسنل'!$A$1:$BH$110,37,0)/30*G5</f>
        <v>0</v>
      </c>
      <c r="L5" s="71">
        <v>0</v>
      </c>
      <c r="M5" s="70">
        <f>G5</f>
        <v>30.5</v>
      </c>
      <c r="N5" s="64">
        <f>I5*22.5%*M5</f>
        <v>14187772.6875</v>
      </c>
      <c r="O5" s="70">
        <f>H5</f>
        <v>30.5</v>
      </c>
      <c r="P5" s="64">
        <f>J5*22.5%*O5</f>
        <v>18240472.501875002</v>
      </c>
      <c r="Q5" s="71"/>
      <c r="R5" s="71"/>
      <c r="S5" s="71">
        <f>B5*4179750/30*G5</f>
        <v>0</v>
      </c>
      <c r="T5" s="71">
        <f>B5*5308284/30*H5</f>
        <v>0</v>
      </c>
      <c r="U5" s="71">
        <v>95</v>
      </c>
      <c r="V5" s="71">
        <f t="shared" ref="V5:V33" si="0">I5*1.4/7.3333333*U5</f>
        <v>37495753.124980703</v>
      </c>
      <c r="W5" s="71">
        <v>120</v>
      </c>
      <c r="X5" s="71">
        <f>J5*1.4/7.3333333*W5</f>
        <v>60892188.658600867</v>
      </c>
      <c r="Y5" s="33">
        <v>0</v>
      </c>
      <c r="Z5" s="33">
        <f>I5*1.4/7.3*Y5*1.4</f>
        <v>0</v>
      </c>
      <c r="AA5" s="33">
        <v>0</v>
      </c>
      <c r="AB5" s="33">
        <f>J5*1.4/7.3333333*AA5*1.4</f>
        <v>0</v>
      </c>
      <c r="AC5" s="33"/>
      <c r="AD5" s="33">
        <f>AC5*I5</f>
        <v>0</v>
      </c>
      <c r="AE5" s="33"/>
      <c r="AF5" s="33">
        <f>AE5*J5</f>
        <v>0</v>
      </c>
      <c r="AG5" s="71">
        <f>6500000/30*G5</f>
        <v>6608333.333333333</v>
      </c>
      <c r="AH5" s="71">
        <f>9000000/30*H5</f>
        <v>9150000</v>
      </c>
      <c r="AI5" s="71">
        <f>8500000/30*G5</f>
        <v>8641666.666666666</v>
      </c>
      <c r="AJ5" s="71">
        <f>11000000/30*H5</f>
        <v>11183333.333333334</v>
      </c>
      <c r="AK5" s="71">
        <f>K5+L5+N5+V5+Q5+R5+S5+Z5+AG5+AI5+I5*G5+AD5</f>
        <v>129990293.3124807</v>
      </c>
      <c r="AL5" s="71">
        <f>J5*H5+K5+L5+P5+T5+X5+AB5+AF5+AH5+AJ5</f>
        <v>180534761.16880921</v>
      </c>
    </row>
    <row r="6" spans="1:38" s="67" customFormat="1" ht="24.75" customHeight="1" x14ac:dyDescent="0.2">
      <c r="A6" s="67">
        <v>1201</v>
      </c>
      <c r="B6" s="67">
        <f>VLOOKUP($A6,'اطلاعات پرسنل'!$A$1:$AL$102,16,0)</f>
        <v>0</v>
      </c>
      <c r="C6" s="6">
        <v>2</v>
      </c>
      <c r="D6" s="5" t="str">
        <f>VLOOKUP($A6,'اطلاعات پرسنل'!$A$1:$AL$102,3,0)</f>
        <v>محسن</v>
      </c>
      <c r="E6" s="5" t="str">
        <f>VLOOKUP($A6,'اطلاعات پرسنل'!$A$1:$AL$111,4,0)</f>
        <v>احمد پور خانی</v>
      </c>
      <c r="F6" s="25">
        <f>VLOOKUP($A6,'اطلاعات پرسنل'!$A$1:$AL$111,17,0)</f>
        <v>2</v>
      </c>
      <c r="G6" s="19">
        <f>$G$5</f>
        <v>30.5</v>
      </c>
      <c r="H6" s="139">
        <f>$H$5</f>
        <v>30.5</v>
      </c>
      <c r="I6" s="64">
        <f>VLOOKUP($A6,'اطلاعات پرسنل'!$A$1:$BW$111,21,0)</f>
        <v>1395327</v>
      </c>
      <c r="J6" s="64">
        <f>VLOOKUP($A6,'اطلاعات پرسنل'!$A$1:$BW$111,41,0)</f>
        <v>1843548</v>
      </c>
      <c r="K6" s="64">
        <f>VLOOKUP($A6,'اطلاعات پرسنل'!$A$1:$BH$110,37,0)/30*G6</f>
        <v>0</v>
      </c>
      <c r="L6" s="64">
        <v>0</v>
      </c>
      <c r="M6" s="19">
        <v>0</v>
      </c>
      <c r="N6" s="64">
        <f t="shared" ref="N6:N33" si="1">I6*22.5%*M6</f>
        <v>0</v>
      </c>
      <c r="O6" s="19"/>
      <c r="P6" s="64">
        <f t="shared" ref="P6:P8" si="2">K6*22.5%*O6</f>
        <v>0</v>
      </c>
      <c r="Q6" s="64"/>
      <c r="R6" s="64"/>
      <c r="S6" s="64">
        <f>B6*4179750/30*G6</f>
        <v>0</v>
      </c>
      <c r="T6" s="64">
        <f>B6*5308284/30*H6</f>
        <v>0</v>
      </c>
      <c r="U6" s="64">
        <v>0</v>
      </c>
      <c r="V6" s="18">
        <f t="shared" si="0"/>
        <v>0</v>
      </c>
      <c r="W6" s="64">
        <v>0</v>
      </c>
      <c r="X6" s="18">
        <f t="shared" ref="X6:X33" si="3">J6*1.4/7.3333333*W6</f>
        <v>0</v>
      </c>
      <c r="Y6" s="21">
        <v>0</v>
      </c>
      <c r="Z6" s="21">
        <f>I6*1.4/7.3*Y6*1.4</f>
        <v>0</v>
      </c>
      <c r="AA6" s="21">
        <v>0</v>
      </c>
      <c r="AB6" s="21">
        <f>J6*1.4/7.3333333*AA6*1.4</f>
        <v>0</v>
      </c>
      <c r="AC6" s="21"/>
      <c r="AD6" s="21">
        <f t="shared" ref="AD6:AD30" si="4">AC6*I6</f>
        <v>0</v>
      </c>
      <c r="AE6" s="21"/>
      <c r="AF6" s="21">
        <f>AE6*J6</f>
        <v>0</v>
      </c>
      <c r="AG6" s="64">
        <f>6500000/30*G6</f>
        <v>6608333.333333333</v>
      </c>
      <c r="AH6" s="64">
        <f t="shared" ref="AH6:AH30" si="5">9000000/30*H6</f>
        <v>9150000</v>
      </c>
      <c r="AI6" s="64">
        <f>8500000/30*G6</f>
        <v>8641666.666666666</v>
      </c>
      <c r="AJ6" s="64">
        <f t="shared" ref="AJ6:AJ30" si="6">11000000/30*H6</f>
        <v>11183333.333333334</v>
      </c>
      <c r="AK6" s="64">
        <f t="shared" ref="AK6:AK38" si="7">K6+L6+N6+V6+Q6+R6+S6+Z6+AG6+AI6+I6*G6+AD6</f>
        <v>57807473.5</v>
      </c>
      <c r="AL6" s="64">
        <f t="shared" ref="AL6:AL38" si="8">J6*H6+K6+L6+P6+T6+X6+AB6+AF6+AH6+AJ6</f>
        <v>76561547.333333328</v>
      </c>
    </row>
    <row r="7" spans="1:38" s="67" customFormat="1" ht="24.75" customHeight="1" x14ac:dyDescent="0.2">
      <c r="A7" s="67">
        <v>1202</v>
      </c>
      <c r="B7" s="67">
        <f>VLOOKUP($A7,'اطلاعات پرسنل'!$A$1:$AL$102,16,0)</f>
        <v>0</v>
      </c>
      <c r="C7" s="4">
        <v>3</v>
      </c>
      <c r="D7" s="5" t="str">
        <f>VLOOKUP($A7,'اطلاعات پرسنل'!$A$1:$AL$102,3,0)</f>
        <v>مهدی</v>
      </c>
      <c r="E7" s="5" t="str">
        <f>VLOOKUP($A7,'اطلاعات پرسنل'!$A$1:$AL$111,4,0)</f>
        <v>اسلام خواه</v>
      </c>
      <c r="F7" s="25">
        <f>VLOOKUP($A7,'اطلاعات پرسنل'!$A$1:$AL$111,17,0)</f>
        <v>2</v>
      </c>
      <c r="G7" s="19">
        <f t="shared" ref="G7:G36" si="9">$G$5</f>
        <v>30.5</v>
      </c>
      <c r="H7" s="139">
        <f t="shared" ref="H7:H34" si="10">$H$5</f>
        <v>30.5</v>
      </c>
      <c r="I7" s="64">
        <f>VLOOKUP($A7,'اطلاعات پرسنل'!$A$1:$BW$111,21,0)</f>
        <v>1395327</v>
      </c>
      <c r="J7" s="64">
        <f>VLOOKUP($A7,'اطلاعات پرسنل'!$A$1:$BW$111,41,0)</f>
        <v>1843548</v>
      </c>
      <c r="K7" s="64">
        <f>VLOOKUP($A7,'اطلاعات پرسنل'!$A$1:$BH$110,37,0)/30*G7</f>
        <v>0</v>
      </c>
      <c r="L7" s="64">
        <v>0</v>
      </c>
      <c r="M7" s="19">
        <v>0</v>
      </c>
      <c r="N7" s="64">
        <f t="shared" si="1"/>
        <v>0</v>
      </c>
      <c r="O7" s="19">
        <v>0</v>
      </c>
      <c r="P7" s="64">
        <f t="shared" si="2"/>
        <v>0</v>
      </c>
      <c r="Q7" s="64"/>
      <c r="R7" s="64"/>
      <c r="S7" s="64">
        <f t="shared" ref="S7:S33" si="11">B7*4179750/30*G7</f>
        <v>0</v>
      </c>
      <c r="T7" s="64">
        <f t="shared" ref="T7:T33" si="12">B7*5308284/30*H7</f>
        <v>0</v>
      </c>
      <c r="U7" s="64">
        <v>0</v>
      </c>
      <c r="V7" s="18">
        <f t="shared" si="0"/>
        <v>0</v>
      </c>
      <c r="W7" s="64">
        <v>60</v>
      </c>
      <c r="X7" s="18">
        <f t="shared" si="3"/>
        <v>21117004.459622744</v>
      </c>
      <c r="Y7" s="21">
        <v>0</v>
      </c>
      <c r="Z7" s="21">
        <f t="shared" ref="Z7:Z33" si="13">I7*1.4/7.3*Y7*1.4</f>
        <v>0</v>
      </c>
      <c r="AA7" s="21">
        <v>0</v>
      </c>
      <c r="AB7" s="21">
        <f t="shared" ref="AB7:AB30" si="14">J7*1.4/7.3333333*AA7*1.4</f>
        <v>0</v>
      </c>
      <c r="AC7" s="21"/>
      <c r="AD7" s="21">
        <f t="shared" si="4"/>
        <v>0</v>
      </c>
      <c r="AE7" s="21"/>
      <c r="AF7" s="21">
        <f t="shared" ref="AF7:AF30" si="15">AE7*J7</f>
        <v>0</v>
      </c>
      <c r="AG7" s="64">
        <f t="shared" ref="AG7:AG33" si="16">6500000/30*G7</f>
        <v>6608333.333333333</v>
      </c>
      <c r="AH7" s="64">
        <f t="shared" si="5"/>
        <v>9150000</v>
      </c>
      <c r="AI7" s="64">
        <f t="shared" ref="AI7:AI33" si="17">8500000/30*G7</f>
        <v>8641666.666666666</v>
      </c>
      <c r="AJ7" s="64">
        <f t="shared" si="6"/>
        <v>11183333.333333334</v>
      </c>
      <c r="AK7" s="64">
        <f t="shared" si="7"/>
        <v>57807473.5</v>
      </c>
      <c r="AL7" s="64">
        <f t="shared" si="8"/>
        <v>97678551.792956069</v>
      </c>
    </row>
    <row r="8" spans="1:38" s="67" customFormat="1" ht="24.75" customHeight="1" x14ac:dyDescent="0.2">
      <c r="A8" s="67">
        <v>1203</v>
      </c>
      <c r="B8" s="67">
        <f>VLOOKUP($A8,'اطلاعات پرسنل'!$A$1:$AL$102,16,0)</f>
        <v>0</v>
      </c>
      <c r="C8" s="6">
        <v>4</v>
      </c>
      <c r="D8" s="5" t="str">
        <f>VLOOKUP($A8,'اطلاعات پرسنل'!$A$1:$AL$102,3,0)</f>
        <v>طاهر</v>
      </c>
      <c r="E8" s="5" t="str">
        <f>VLOOKUP($A8,'اطلاعات پرسنل'!$A$1:$AL$111,4,0)</f>
        <v>امیری مافی</v>
      </c>
      <c r="F8" s="25">
        <f>VLOOKUP($A8,'اطلاعات پرسنل'!$A$1:$AL$111,17,0)</f>
        <v>2</v>
      </c>
      <c r="G8" s="19">
        <f t="shared" si="9"/>
        <v>30.5</v>
      </c>
      <c r="H8" s="139">
        <f t="shared" si="10"/>
        <v>30.5</v>
      </c>
      <c r="I8" s="64">
        <f>VLOOKUP($A8,'اطلاعات پرسنل'!$A$1:$BW$111,21,0)</f>
        <v>1395327</v>
      </c>
      <c r="J8" s="64">
        <f>VLOOKUP($A8,'اطلاعات پرسنل'!$A$1:$BW$111,41,0)</f>
        <v>1843548</v>
      </c>
      <c r="K8" s="64">
        <f>VLOOKUP($A8,'اطلاعات پرسنل'!$A$1:$BH$110,37,0)/30*G8</f>
        <v>0</v>
      </c>
      <c r="L8" s="64">
        <v>0</v>
      </c>
      <c r="M8" s="19">
        <v>0</v>
      </c>
      <c r="N8" s="64">
        <f t="shared" si="1"/>
        <v>0</v>
      </c>
      <c r="O8" s="19">
        <v>0</v>
      </c>
      <c r="P8" s="64">
        <f t="shared" si="2"/>
        <v>0</v>
      </c>
      <c r="Q8" s="64"/>
      <c r="R8" s="64"/>
      <c r="S8" s="64">
        <f t="shared" si="11"/>
        <v>0</v>
      </c>
      <c r="T8" s="64">
        <f t="shared" si="12"/>
        <v>0</v>
      </c>
      <c r="U8" s="64">
        <v>0</v>
      </c>
      <c r="V8" s="18">
        <f t="shared" si="0"/>
        <v>0</v>
      </c>
      <c r="W8" s="64">
        <v>0</v>
      </c>
      <c r="X8" s="18">
        <f t="shared" si="3"/>
        <v>0</v>
      </c>
      <c r="Y8" s="21">
        <v>0</v>
      </c>
      <c r="Z8" s="21">
        <f t="shared" si="13"/>
        <v>0</v>
      </c>
      <c r="AA8" s="21">
        <v>0</v>
      </c>
      <c r="AB8" s="21">
        <f t="shared" si="14"/>
        <v>0</v>
      </c>
      <c r="AC8" s="21"/>
      <c r="AD8" s="21">
        <f t="shared" si="4"/>
        <v>0</v>
      </c>
      <c r="AE8" s="21"/>
      <c r="AF8" s="21">
        <f t="shared" si="15"/>
        <v>0</v>
      </c>
      <c r="AG8" s="64">
        <f t="shared" si="16"/>
        <v>6608333.333333333</v>
      </c>
      <c r="AH8" s="64">
        <f t="shared" si="5"/>
        <v>9150000</v>
      </c>
      <c r="AI8" s="64">
        <f t="shared" si="17"/>
        <v>8641666.666666666</v>
      </c>
      <c r="AJ8" s="64">
        <f t="shared" si="6"/>
        <v>11183333.333333334</v>
      </c>
      <c r="AK8" s="64">
        <f t="shared" si="7"/>
        <v>57807473.5</v>
      </c>
      <c r="AL8" s="64">
        <f t="shared" si="8"/>
        <v>76561547.333333328</v>
      </c>
    </row>
    <row r="9" spans="1:38" s="67" customFormat="1" ht="24.75" customHeight="1" x14ac:dyDescent="0.2">
      <c r="A9" s="67">
        <v>1204</v>
      </c>
      <c r="B9" s="67">
        <f>VLOOKUP($A9,'اطلاعات پرسنل'!$A$1:$AL$102,16,0)</f>
        <v>0</v>
      </c>
      <c r="C9" s="4">
        <v>5</v>
      </c>
      <c r="D9" s="5" t="str">
        <f>VLOOKUP($A9,'اطلاعات پرسنل'!$A$1:$AL$102,3,0)</f>
        <v>رضا</v>
      </c>
      <c r="E9" s="5" t="str">
        <f>VLOOKUP($A9,'اطلاعات پرسنل'!$A$1:$AL$111,4,0)</f>
        <v>آقاجانی</v>
      </c>
      <c r="F9" s="25">
        <f>VLOOKUP($A9,'اطلاعات پرسنل'!$A$1:$AL$111,17,0)</f>
        <v>2</v>
      </c>
      <c r="G9" s="19">
        <f t="shared" si="9"/>
        <v>30.5</v>
      </c>
      <c r="H9" s="139">
        <f t="shared" si="10"/>
        <v>30.5</v>
      </c>
      <c r="I9" s="64">
        <f>VLOOKUP($A9,'اطلاعات پرسنل'!$A$1:$BW$111,21,0)</f>
        <v>1395327</v>
      </c>
      <c r="J9" s="64">
        <f>VLOOKUP($A9,'اطلاعات پرسنل'!$A$1:$BW$111,41,0)</f>
        <v>1843548</v>
      </c>
      <c r="K9" s="64">
        <f>VLOOKUP($A9,'اطلاعات پرسنل'!$A$1:$BH$110,37,0)/30*G9</f>
        <v>0</v>
      </c>
      <c r="L9" s="64">
        <v>0</v>
      </c>
      <c r="M9" s="19">
        <v>0</v>
      </c>
      <c r="N9" s="64">
        <f t="shared" si="1"/>
        <v>0</v>
      </c>
      <c r="O9" s="19">
        <v>0</v>
      </c>
      <c r="P9" s="64">
        <f t="shared" ref="P9:P12" si="18">K9*22.5%*O9</f>
        <v>0</v>
      </c>
      <c r="Q9" s="64"/>
      <c r="R9" s="64"/>
      <c r="S9" s="64">
        <f t="shared" si="11"/>
        <v>0</v>
      </c>
      <c r="T9" s="64">
        <f t="shared" si="12"/>
        <v>0</v>
      </c>
      <c r="U9" s="64">
        <v>0</v>
      </c>
      <c r="V9" s="18">
        <f t="shared" si="0"/>
        <v>0</v>
      </c>
      <c r="W9" s="64">
        <v>0</v>
      </c>
      <c r="X9" s="18">
        <f t="shared" si="3"/>
        <v>0</v>
      </c>
      <c r="Y9" s="21">
        <v>0</v>
      </c>
      <c r="Z9" s="21">
        <f t="shared" si="13"/>
        <v>0</v>
      </c>
      <c r="AA9" s="21">
        <v>0</v>
      </c>
      <c r="AB9" s="21">
        <f t="shared" si="14"/>
        <v>0</v>
      </c>
      <c r="AC9" s="21"/>
      <c r="AD9" s="21">
        <f t="shared" si="4"/>
        <v>0</v>
      </c>
      <c r="AE9" s="21"/>
      <c r="AF9" s="21">
        <f t="shared" si="15"/>
        <v>0</v>
      </c>
      <c r="AG9" s="64">
        <f t="shared" si="16"/>
        <v>6608333.333333333</v>
      </c>
      <c r="AH9" s="64">
        <f t="shared" si="5"/>
        <v>9150000</v>
      </c>
      <c r="AI9" s="64">
        <f t="shared" si="17"/>
        <v>8641666.666666666</v>
      </c>
      <c r="AJ9" s="64">
        <f t="shared" si="6"/>
        <v>11183333.333333334</v>
      </c>
      <c r="AK9" s="64">
        <f t="shared" si="7"/>
        <v>57807473.5</v>
      </c>
      <c r="AL9" s="64">
        <f t="shared" si="8"/>
        <v>76561547.333333328</v>
      </c>
    </row>
    <row r="10" spans="1:38" s="67" customFormat="1" ht="24.75" customHeight="1" x14ac:dyDescent="0.2">
      <c r="A10" s="67">
        <v>1206</v>
      </c>
      <c r="B10" s="67">
        <f>VLOOKUP($A10,'اطلاعات پرسنل'!$A$1:$AL$102,16,0)</f>
        <v>2</v>
      </c>
      <c r="C10" s="6">
        <v>6</v>
      </c>
      <c r="D10" s="5" t="str">
        <f>VLOOKUP($A10,'اطلاعات پرسنل'!$A$1:$AL$102,3,0)</f>
        <v>علی</v>
      </c>
      <c r="E10" s="5" t="str">
        <f>VLOOKUP($A10,'اطلاعات پرسنل'!$A$1:$AL$111,4,0)</f>
        <v>تیموری</v>
      </c>
      <c r="F10" s="25">
        <f>VLOOKUP($A10,'اطلاعات پرسنل'!$A$1:$AL$111,17,0)</f>
        <v>5</v>
      </c>
      <c r="G10" s="19">
        <f t="shared" si="9"/>
        <v>30.5</v>
      </c>
      <c r="H10" s="139">
        <f t="shared" si="10"/>
        <v>30.5</v>
      </c>
      <c r="I10" s="64">
        <f>VLOOKUP($A10,'اطلاعات پرسنل'!$A$1:$BW$111,21,0)</f>
        <v>1827430</v>
      </c>
      <c r="J10" s="64">
        <f>VLOOKUP($A10,'اطلاعات پرسنل'!$A$1:$BW$111,41,0)</f>
        <v>2365586.2999999998</v>
      </c>
      <c r="K10" s="64">
        <f>VLOOKUP($A10,'اطلاعات پرسنل'!$A$1:$BH$110,37,0)/30*G10</f>
        <v>0</v>
      </c>
      <c r="L10" s="64">
        <v>0</v>
      </c>
      <c r="M10" s="19">
        <v>0</v>
      </c>
      <c r="N10" s="64">
        <f t="shared" si="1"/>
        <v>0</v>
      </c>
      <c r="O10" s="19">
        <v>0</v>
      </c>
      <c r="P10" s="64">
        <f t="shared" si="18"/>
        <v>0</v>
      </c>
      <c r="Q10" s="64"/>
      <c r="R10" s="64"/>
      <c r="S10" s="64">
        <f t="shared" si="11"/>
        <v>8498825</v>
      </c>
      <c r="T10" s="64">
        <f t="shared" si="12"/>
        <v>10793510.799999999</v>
      </c>
      <c r="U10" s="64">
        <v>0</v>
      </c>
      <c r="V10" s="18">
        <f t="shared" si="0"/>
        <v>0</v>
      </c>
      <c r="W10" s="64">
        <v>0</v>
      </c>
      <c r="X10" s="18">
        <f t="shared" si="3"/>
        <v>0</v>
      </c>
      <c r="Y10" s="21">
        <v>0</v>
      </c>
      <c r="Z10" s="21">
        <f t="shared" si="13"/>
        <v>0</v>
      </c>
      <c r="AA10" s="21">
        <v>0</v>
      </c>
      <c r="AB10" s="21">
        <f t="shared" si="14"/>
        <v>0</v>
      </c>
      <c r="AC10" s="21"/>
      <c r="AD10" s="21">
        <f t="shared" si="4"/>
        <v>0</v>
      </c>
      <c r="AE10" s="21"/>
      <c r="AF10" s="21">
        <f t="shared" si="15"/>
        <v>0</v>
      </c>
      <c r="AG10" s="64">
        <f t="shared" si="16"/>
        <v>6608333.333333333</v>
      </c>
      <c r="AH10" s="64">
        <f t="shared" si="5"/>
        <v>9150000</v>
      </c>
      <c r="AI10" s="64">
        <f t="shared" si="17"/>
        <v>8641666.666666666</v>
      </c>
      <c r="AJ10" s="64">
        <f t="shared" si="6"/>
        <v>11183333.333333334</v>
      </c>
      <c r="AK10" s="64">
        <f t="shared" si="7"/>
        <v>79485440</v>
      </c>
      <c r="AL10" s="64">
        <f t="shared" si="8"/>
        <v>103277226.28333332</v>
      </c>
    </row>
    <row r="11" spans="1:38" s="67" customFormat="1" ht="24.75" customHeight="1" x14ac:dyDescent="0.2">
      <c r="A11" s="67">
        <v>1207</v>
      </c>
      <c r="B11" s="67">
        <f>VLOOKUP($A11,'اطلاعات پرسنل'!$A$1:$AL$102,16,0)</f>
        <v>1</v>
      </c>
      <c r="C11" s="4">
        <v>7</v>
      </c>
      <c r="D11" s="5" t="str">
        <f>VLOOKUP($A11,'اطلاعات پرسنل'!$A$1:$AL$102,3,0)</f>
        <v xml:space="preserve">مهدی </v>
      </c>
      <c r="E11" s="5" t="str">
        <f>VLOOKUP($A11,'اطلاعات پرسنل'!$A$1:$AL$111,4,0)</f>
        <v>چگینی</v>
      </c>
      <c r="F11" s="25">
        <f>VLOOKUP($A11,'اطلاعات پرسنل'!$A$1:$AL$111,17,0)</f>
        <v>4</v>
      </c>
      <c r="G11" s="19">
        <f t="shared" si="9"/>
        <v>30.5</v>
      </c>
      <c r="H11" s="139">
        <f t="shared" si="10"/>
        <v>30.5</v>
      </c>
      <c r="I11" s="64">
        <f>VLOOKUP($A11,'اطلاعات پرسنل'!$A$1:$BW$111,21,0)</f>
        <v>1654208</v>
      </c>
      <c r="J11" s="64">
        <f>VLOOKUP($A11,'اطلاعات پرسنل'!$A$1:$BW$111,41,0)</f>
        <v>2155787.6799999997</v>
      </c>
      <c r="K11" s="64">
        <f>VLOOKUP($A11,'اطلاعات پرسنل'!$A$1:$BH$110,37,0)/30*G11</f>
        <v>0</v>
      </c>
      <c r="L11" s="64">
        <v>0</v>
      </c>
      <c r="M11" s="19">
        <v>0</v>
      </c>
      <c r="N11" s="64">
        <f t="shared" si="1"/>
        <v>0</v>
      </c>
      <c r="O11" s="19">
        <v>0</v>
      </c>
      <c r="P11" s="64">
        <f t="shared" si="18"/>
        <v>0</v>
      </c>
      <c r="Q11" s="64"/>
      <c r="R11" s="64"/>
      <c r="S11" s="64">
        <f t="shared" si="11"/>
        <v>4249412.5</v>
      </c>
      <c r="T11" s="64">
        <f t="shared" si="12"/>
        <v>5396755.3999999994</v>
      </c>
      <c r="U11" s="64">
        <v>80</v>
      </c>
      <c r="V11" s="18">
        <f t="shared" si="0"/>
        <v>25264267.751201212</v>
      </c>
      <c r="W11" s="64">
        <v>73</v>
      </c>
      <c r="X11" s="18">
        <f t="shared" si="3"/>
        <v>30043841.167835638</v>
      </c>
      <c r="Y11" s="21">
        <v>30</v>
      </c>
      <c r="Z11" s="21">
        <f t="shared" si="13"/>
        <v>13324305.534246573</v>
      </c>
      <c r="AA11" s="21">
        <v>42</v>
      </c>
      <c r="AB11" s="21">
        <f t="shared" si="14"/>
        <v>24199696.721489526</v>
      </c>
      <c r="AC11" s="21"/>
      <c r="AD11" s="21">
        <f t="shared" si="4"/>
        <v>0</v>
      </c>
      <c r="AE11" s="21"/>
      <c r="AF11" s="21">
        <f t="shared" si="15"/>
        <v>0</v>
      </c>
      <c r="AG11" s="64">
        <f t="shared" si="16"/>
        <v>6608333.333333333</v>
      </c>
      <c r="AH11" s="64">
        <f t="shared" si="5"/>
        <v>9150000</v>
      </c>
      <c r="AI11" s="64">
        <f t="shared" si="17"/>
        <v>8641666.666666666</v>
      </c>
      <c r="AJ11" s="64">
        <f t="shared" si="6"/>
        <v>11183333.333333334</v>
      </c>
      <c r="AK11" s="64">
        <f t="shared" si="7"/>
        <v>108541329.78544778</v>
      </c>
      <c r="AL11" s="64">
        <f t="shared" si="8"/>
        <v>145725150.8626585</v>
      </c>
    </row>
    <row r="12" spans="1:38" s="67" customFormat="1" ht="24.75" customHeight="1" x14ac:dyDescent="0.2">
      <c r="A12" s="67">
        <v>1208</v>
      </c>
      <c r="B12" s="67">
        <f>VLOOKUP($A12,'اطلاعات پرسنل'!$A$1:$AL$102,16,0)</f>
        <v>3</v>
      </c>
      <c r="C12" s="6">
        <v>8</v>
      </c>
      <c r="D12" s="5" t="str">
        <f>VLOOKUP($A12,'اطلاعات پرسنل'!$A$1:$AL$102,3,0)</f>
        <v>سید محمد</v>
      </c>
      <c r="E12" s="5" t="str">
        <f>VLOOKUP($A12,'اطلاعات پرسنل'!$A$1:$AL$111,4,0)</f>
        <v>حسینی</v>
      </c>
      <c r="F12" s="25">
        <f>VLOOKUP($A12,'اطلاعات پرسنل'!$A$1:$AL$111,17,0)</f>
        <v>2</v>
      </c>
      <c r="G12" s="19">
        <f t="shared" si="9"/>
        <v>30.5</v>
      </c>
      <c r="H12" s="139">
        <f t="shared" si="10"/>
        <v>30.5</v>
      </c>
      <c r="I12" s="64">
        <f>VLOOKUP($A12,'اطلاعات پرسنل'!$A$1:$BW$111,21,0)</f>
        <v>1395329</v>
      </c>
      <c r="J12" s="64">
        <f>VLOOKUP($A12,'اطلاعات پرسنل'!$A$1:$BW$111,41,0)</f>
        <v>1843548</v>
      </c>
      <c r="K12" s="64">
        <f>VLOOKUP($A12,'اطلاعات پرسنل'!$A$1:$BH$110,37,0)/30*G12</f>
        <v>0</v>
      </c>
      <c r="L12" s="64">
        <v>0</v>
      </c>
      <c r="M12" s="19">
        <v>0</v>
      </c>
      <c r="N12" s="64">
        <f t="shared" si="1"/>
        <v>0</v>
      </c>
      <c r="O12" s="19">
        <v>0</v>
      </c>
      <c r="P12" s="64">
        <f t="shared" si="18"/>
        <v>0</v>
      </c>
      <c r="Q12" s="64"/>
      <c r="R12" s="64"/>
      <c r="S12" s="64">
        <f t="shared" si="11"/>
        <v>12748237.5</v>
      </c>
      <c r="T12" s="64">
        <f t="shared" si="12"/>
        <v>16190266.200000001</v>
      </c>
      <c r="U12" s="64">
        <v>0</v>
      </c>
      <c r="V12" s="18">
        <f t="shared" si="0"/>
        <v>0</v>
      </c>
      <c r="W12" s="64">
        <v>120</v>
      </c>
      <c r="X12" s="18">
        <f t="shared" si="3"/>
        <v>42234008.919245489</v>
      </c>
      <c r="Y12" s="21">
        <v>0</v>
      </c>
      <c r="Z12" s="21">
        <f t="shared" si="13"/>
        <v>0</v>
      </c>
      <c r="AA12" s="21">
        <v>0</v>
      </c>
      <c r="AB12" s="21">
        <f t="shared" si="14"/>
        <v>0</v>
      </c>
      <c r="AC12" s="21"/>
      <c r="AD12" s="21">
        <f t="shared" si="4"/>
        <v>0</v>
      </c>
      <c r="AE12" s="21"/>
      <c r="AF12" s="21">
        <f t="shared" si="15"/>
        <v>0</v>
      </c>
      <c r="AG12" s="64">
        <f t="shared" si="16"/>
        <v>6608333.333333333</v>
      </c>
      <c r="AH12" s="64">
        <f t="shared" si="5"/>
        <v>9150000</v>
      </c>
      <c r="AI12" s="64">
        <f t="shared" si="17"/>
        <v>8641666.666666666</v>
      </c>
      <c r="AJ12" s="64">
        <f t="shared" si="6"/>
        <v>11183333.333333334</v>
      </c>
      <c r="AK12" s="64">
        <f t="shared" si="7"/>
        <v>70555772</v>
      </c>
      <c r="AL12" s="64">
        <f t="shared" si="8"/>
        <v>134985822.45257884</v>
      </c>
    </row>
    <row r="13" spans="1:38" s="67" customFormat="1" ht="24.75" customHeight="1" x14ac:dyDescent="0.2">
      <c r="A13" s="67">
        <v>1211</v>
      </c>
      <c r="B13" s="67">
        <f>VLOOKUP($A13,'اطلاعات پرسنل'!$A$1:$AL$102,16,0)</f>
        <v>3</v>
      </c>
      <c r="C13" s="4">
        <v>9</v>
      </c>
      <c r="D13" s="5" t="str">
        <f>VLOOKUP($A13,'اطلاعات پرسنل'!$A$1:$AL$102,3,0)</f>
        <v>مهدی</v>
      </c>
      <c r="E13" s="5" t="str">
        <f>VLOOKUP($A13,'اطلاعات پرسنل'!$A$1:$AL$111,4,0)</f>
        <v>روحانی نسب</v>
      </c>
      <c r="F13" s="25">
        <f>VLOOKUP($A13,'اطلاعات پرسنل'!$A$1:$AL$111,17,0)</f>
        <v>10</v>
      </c>
      <c r="G13" s="19">
        <f t="shared" si="9"/>
        <v>30.5</v>
      </c>
      <c r="H13" s="139">
        <f t="shared" si="10"/>
        <v>30.5</v>
      </c>
      <c r="I13" s="64">
        <f>VLOOKUP($A13,'اطلاعات پرسنل'!$A$1:$BW$111,21,0)</f>
        <v>2085395</v>
      </c>
      <c r="J13" s="64">
        <f>VLOOKUP($A13,'اطلاعات پرسنل'!$A$1:$BW$111,41,0)</f>
        <v>2678723.9499999997</v>
      </c>
      <c r="K13" s="64">
        <f>VLOOKUP($A13,'اطلاعات پرسنل'!$A$1:$BH$110,37,0)/30*G13</f>
        <v>0</v>
      </c>
      <c r="L13" s="64">
        <v>0</v>
      </c>
      <c r="M13" s="19">
        <f>G13</f>
        <v>30.5</v>
      </c>
      <c r="N13" s="64">
        <f t="shared" si="1"/>
        <v>14311023.1875</v>
      </c>
      <c r="O13" s="19">
        <f>H13</f>
        <v>30.5</v>
      </c>
      <c r="P13" s="64">
        <f>J13*22.5%*O13</f>
        <v>18382743.106874999</v>
      </c>
      <c r="Q13" s="64"/>
      <c r="R13" s="64"/>
      <c r="S13" s="64">
        <f t="shared" si="11"/>
        <v>12748237.5</v>
      </c>
      <c r="T13" s="64">
        <f t="shared" si="12"/>
        <v>16190266.200000001</v>
      </c>
      <c r="U13" s="64">
        <v>85</v>
      </c>
      <c r="V13" s="18">
        <f t="shared" si="0"/>
        <v>33840273.562910341</v>
      </c>
      <c r="W13" s="64">
        <v>38</v>
      </c>
      <c r="X13" s="18">
        <f t="shared" si="3"/>
        <v>19432924.743786018</v>
      </c>
      <c r="Y13" s="21">
        <v>0</v>
      </c>
      <c r="Z13" s="21">
        <f t="shared" si="13"/>
        <v>0</v>
      </c>
      <c r="AA13" s="21">
        <v>0</v>
      </c>
      <c r="AB13" s="21">
        <f t="shared" si="14"/>
        <v>0</v>
      </c>
      <c r="AC13" s="21"/>
      <c r="AD13" s="21">
        <f t="shared" si="4"/>
        <v>0</v>
      </c>
      <c r="AE13" s="21"/>
      <c r="AF13" s="21">
        <f t="shared" si="15"/>
        <v>0</v>
      </c>
      <c r="AG13" s="64">
        <f t="shared" si="16"/>
        <v>6608333.333333333</v>
      </c>
      <c r="AH13" s="64">
        <f t="shared" si="5"/>
        <v>9150000</v>
      </c>
      <c r="AI13" s="64">
        <f t="shared" si="17"/>
        <v>8641666.666666666</v>
      </c>
      <c r="AJ13" s="64">
        <f t="shared" si="6"/>
        <v>11183333.333333334</v>
      </c>
      <c r="AK13" s="64">
        <f t="shared" si="7"/>
        <v>139754081.75041035</v>
      </c>
      <c r="AL13" s="64">
        <f t="shared" si="8"/>
        <v>156040347.85899436</v>
      </c>
    </row>
    <row r="14" spans="1:38" s="67" customFormat="1" ht="24.75" customHeight="1" x14ac:dyDescent="0.2">
      <c r="A14" s="67">
        <v>1212</v>
      </c>
      <c r="B14" s="67">
        <f>VLOOKUP($A14,'اطلاعات پرسنل'!$A$1:$AL$102,16,0)</f>
        <v>1</v>
      </c>
      <c r="C14" s="6">
        <v>10</v>
      </c>
      <c r="D14" s="5" t="str">
        <f>VLOOKUP($A14,'اطلاعات پرسنل'!$A$1:$AL$102,3,0)</f>
        <v>هادی</v>
      </c>
      <c r="E14" s="5" t="str">
        <f>VLOOKUP($A14,'اطلاعات پرسنل'!$A$1:$AL$111,4,0)</f>
        <v>روحانی نسب</v>
      </c>
      <c r="F14" s="25">
        <f>VLOOKUP($A14,'اطلاعات پرسنل'!$A$1:$AL$111,17,0)</f>
        <v>10</v>
      </c>
      <c r="G14" s="19">
        <f t="shared" si="9"/>
        <v>30.5</v>
      </c>
      <c r="H14" s="139">
        <f t="shared" si="10"/>
        <v>30.5</v>
      </c>
      <c r="I14" s="64">
        <f>VLOOKUP($A14,'اطلاعات پرسنل'!$A$1:$BW$111,21,0)</f>
        <v>2085395</v>
      </c>
      <c r="J14" s="64">
        <f>VLOOKUP($A14,'اطلاعات پرسنل'!$A$1:$BW$111,41,0)</f>
        <v>2678723.9499999997</v>
      </c>
      <c r="K14" s="64">
        <f>VLOOKUP($A14,'اطلاعات پرسنل'!$A$1:$BH$110,37,0)/30*G14</f>
        <v>0</v>
      </c>
      <c r="L14" s="64">
        <v>0</v>
      </c>
      <c r="M14" s="19">
        <f>G14</f>
        <v>30.5</v>
      </c>
      <c r="N14" s="64">
        <f t="shared" si="1"/>
        <v>14311023.1875</v>
      </c>
      <c r="O14" s="19">
        <f>H14</f>
        <v>30.5</v>
      </c>
      <c r="P14" s="64">
        <f>J14*22.5%*O14</f>
        <v>18382743.106874999</v>
      </c>
      <c r="Q14" s="64"/>
      <c r="R14" s="64"/>
      <c r="S14" s="64">
        <f t="shared" si="11"/>
        <v>4249412.5</v>
      </c>
      <c r="T14" s="64">
        <f t="shared" si="12"/>
        <v>5396755.3999999994</v>
      </c>
      <c r="U14" s="64">
        <v>40</v>
      </c>
      <c r="V14" s="18">
        <f t="shared" si="0"/>
        <v>15924834.61784016</v>
      </c>
      <c r="W14" s="64">
        <v>82</v>
      </c>
      <c r="X14" s="18">
        <f t="shared" si="3"/>
        <v>41934206.026064567</v>
      </c>
      <c r="Y14" s="21">
        <v>0</v>
      </c>
      <c r="Z14" s="21">
        <f t="shared" si="13"/>
        <v>0</v>
      </c>
      <c r="AA14" s="21">
        <v>0</v>
      </c>
      <c r="AB14" s="21">
        <f t="shared" si="14"/>
        <v>0</v>
      </c>
      <c r="AC14" s="21"/>
      <c r="AD14" s="21">
        <f t="shared" si="4"/>
        <v>0</v>
      </c>
      <c r="AE14" s="21"/>
      <c r="AF14" s="21">
        <f t="shared" si="15"/>
        <v>0</v>
      </c>
      <c r="AG14" s="64">
        <f t="shared" si="16"/>
        <v>6608333.333333333</v>
      </c>
      <c r="AH14" s="64">
        <f t="shared" si="5"/>
        <v>9150000</v>
      </c>
      <c r="AI14" s="64">
        <f t="shared" si="17"/>
        <v>8641666.666666666</v>
      </c>
      <c r="AJ14" s="64">
        <f t="shared" si="6"/>
        <v>11183333.333333334</v>
      </c>
      <c r="AK14" s="64">
        <f t="shared" si="7"/>
        <v>113339817.80534016</v>
      </c>
      <c r="AL14" s="64">
        <f t="shared" si="8"/>
        <v>167748118.34127292</v>
      </c>
    </row>
    <row r="15" spans="1:38" s="67" customFormat="1" ht="24.75" customHeight="1" x14ac:dyDescent="0.2">
      <c r="A15" s="67">
        <v>1213</v>
      </c>
      <c r="B15" s="67">
        <f>VLOOKUP($A15,'اطلاعات پرسنل'!$A$1:$AL$102,16,0)</f>
        <v>1</v>
      </c>
      <c r="C15" s="4">
        <v>11</v>
      </c>
      <c r="D15" s="5" t="str">
        <f>VLOOKUP($A15,'اطلاعات پرسنل'!$A$1:$AL$102,3,0)</f>
        <v xml:space="preserve">مصطفی </v>
      </c>
      <c r="E15" s="5" t="str">
        <f>VLOOKUP($A15,'اطلاعات پرسنل'!$A$1:$AL$111,4,0)</f>
        <v>زمان</v>
      </c>
      <c r="F15" s="25">
        <f>VLOOKUP($A15,'اطلاعات پرسنل'!$A$1:$AL$111,17,0)</f>
        <v>6</v>
      </c>
      <c r="G15" s="19">
        <f t="shared" si="9"/>
        <v>30.5</v>
      </c>
      <c r="H15" s="139">
        <f t="shared" si="10"/>
        <v>30.5</v>
      </c>
      <c r="I15" s="64">
        <f>VLOOKUP($A15,'اطلاعات پرسنل'!$A$1:$BW$111,21,0)</f>
        <v>1440575</v>
      </c>
      <c r="J15" s="64">
        <f>VLOOKUP($A15,'اطلاعات پرسنل'!$A$1:$BW$111,41,0)</f>
        <v>1896891.75</v>
      </c>
      <c r="K15" s="64">
        <f>VLOOKUP($A15,'اطلاعات پرسنل'!$A$1:$BH$110,37,0)/30*G15</f>
        <v>0</v>
      </c>
      <c r="L15" s="64">
        <v>0</v>
      </c>
      <c r="M15" s="19">
        <v>0</v>
      </c>
      <c r="N15" s="64">
        <f t="shared" si="1"/>
        <v>0</v>
      </c>
      <c r="O15" s="19"/>
      <c r="P15" s="64">
        <f t="shared" ref="P15:P24" si="19">J15*22.5%*O15</f>
        <v>0</v>
      </c>
      <c r="Q15" s="64"/>
      <c r="R15" s="64"/>
      <c r="S15" s="64">
        <f t="shared" si="11"/>
        <v>4249412.5</v>
      </c>
      <c r="T15" s="64">
        <f t="shared" si="12"/>
        <v>5396755.3999999994</v>
      </c>
      <c r="U15" s="64">
        <v>0</v>
      </c>
      <c r="V15" s="18">
        <f t="shared" si="0"/>
        <v>0</v>
      </c>
      <c r="W15" s="64">
        <v>20</v>
      </c>
      <c r="X15" s="18">
        <f t="shared" si="3"/>
        <v>7242677.6238303529</v>
      </c>
      <c r="Y15" s="21">
        <v>0</v>
      </c>
      <c r="Z15" s="21">
        <f t="shared" si="13"/>
        <v>0</v>
      </c>
      <c r="AA15" s="21">
        <v>0</v>
      </c>
      <c r="AB15" s="21">
        <f t="shared" si="14"/>
        <v>0</v>
      </c>
      <c r="AC15" s="21"/>
      <c r="AD15" s="21">
        <f t="shared" si="4"/>
        <v>0</v>
      </c>
      <c r="AE15" s="21"/>
      <c r="AF15" s="21">
        <f t="shared" si="15"/>
        <v>0</v>
      </c>
      <c r="AG15" s="64">
        <f t="shared" si="16"/>
        <v>6608333.333333333</v>
      </c>
      <c r="AH15" s="64">
        <f t="shared" si="5"/>
        <v>9150000</v>
      </c>
      <c r="AI15" s="64">
        <f t="shared" si="17"/>
        <v>8641666.666666666</v>
      </c>
      <c r="AJ15" s="64">
        <f t="shared" si="6"/>
        <v>11183333.333333334</v>
      </c>
      <c r="AK15" s="64">
        <f t="shared" si="7"/>
        <v>63436950</v>
      </c>
      <c r="AL15" s="64">
        <f t="shared" si="8"/>
        <v>90827964.732163683</v>
      </c>
    </row>
    <row r="16" spans="1:38" s="67" customFormat="1" ht="24.75" customHeight="1" x14ac:dyDescent="0.2">
      <c r="A16" s="67">
        <v>1214</v>
      </c>
      <c r="B16" s="67">
        <f>VLOOKUP($A16,'اطلاعات پرسنل'!$A$1:$AL$102,16,0)</f>
        <v>2</v>
      </c>
      <c r="C16" s="6">
        <v>12</v>
      </c>
      <c r="D16" s="5" t="str">
        <f>VLOOKUP($A16,'اطلاعات پرسنل'!$A$1:$AL$102,3,0)</f>
        <v>ابراهیم</v>
      </c>
      <c r="E16" s="5" t="str">
        <f>VLOOKUP($A16,'اطلاعات پرسنل'!$A$1:$AL$111,4,0)</f>
        <v>صادقی خوبانی</v>
      </c>
      <c r="F16" s="25">
        <f>VLOOKUP($A16,'اطلاعات پرسنل'!$A$1:$AL$111,17,0)</f>
        <v>7</v>
      </c>
      <c r="G16" s="19">
        <f t="shared" si="9"/>
        <v>30.5</v>
      </c>
      <c r="H16" s="139">
        <f t="shared" si="10"/>
        <v>30.5</v>
      </c>
      <c r="I16" s="64">
        <f>VLOOKUP($A16,'اطلاعات پرسنل'!$A$1:$BW$111,21,0)</f>
        <v>1916885</v>
      </c>
      <c r="J16" s="64">
        <f>VLOOKUP($A16,'اطلاعات پرسنل'!$A$1:$BW$111,41,0)</f>
        <v>2474226.85</v>
      </c>
      <c r="K16" s="64">
        <f>VLOOKUP($A16,'اطلاعات پرسنل'!$A$1:$BH$110,37,0)/30*G16</f>
        <v>0</v>
      </c>
      <c r="L16" s="64">
        <v>0</v>
      </c>
      <c r="M16" s="19">
        <v>0</v>
      </c>
      <c r="N16" s="64">
        <f t="shared" si="1"/>
        <v>0</v>
      </c>
      <c r="O16" s="19"/>
      <c r="P16" s="64">
        <f t="shared" si="19"/>
        <v>0</v>
      </c>
      <c r="Q16" s="64"/>
      <c r="R16" s="64"/>
      <c r="S16" s="64">
        <f t="shared" si="11"/>
        <v>8498825</v>
      </c>
      <c r="T16" s="64">
        <f t="shared" si="12"/>
        <v>10793510.799999999</v>
      </c>
      <c r="U16" s="64">
        <v>90</v>
      </c>
      <c r="V16" s="18">
        <f t="shared" si="0"/>
        <v>32935569.695161685</v>
      </c>
      <c r="W16" s="64">
        <v>78</v>
      </c>
      <c r="X16" s="18">
        <f t="shared" si="3"/>
        <v>36843487.261106759</v>
      </c>
      <c r="Y16" s="21">
        <v>30</v>
      </c>
      <c r="Z16" s="21">
        <f t="shared" si="13"/>
        <v>15440114.794520548</v>
      </c>
      <c r="AA16" s="21">
        <v>42</v>
      </c>
      <c r="AB16" s="21">
        <f t="shared" si="14"/>
        <v>27774321.166065097</v>
      </c>
      <c r="AC16" s="21"/>
      <c r="AD16" s="21">
        <f t="shared" si="4"/>
        <v>0</v>
      </c>
      <c r="AE16" s="21">
        <v>2</v>
      </c>
      <c r="AF16" s="21">
        <f t="shared" si="15"/>
        <v>4948453.7</v>
      </c>
      <c r="AG16" s="64">
        <f t="shared" si="16"/>
        <v>6608333.333333333</v>
      </c>
      <c r="AH16" s="64">
        <f t="shared" si="5"/>
        <v>9150000</v>
      </c>
      <c r="AI16" s="64">
        <f t="shared" si="17"/>
        <v>8641666.666666666</v>
      </c>
      <c r="AJ16" s="64">
        <f t="shared" si="6"/>
        <v>11183333.333333334</v>
      </c>
      <c r="AK16" s="64">
        <f t="shared" si="7"/>
        <v>130589501.98968224</v>
      </c>
      <c r="AL16" s="64">
        <f t="shared" si="8"/>
        <v>176157025.18550518</v>
      </c>
    </row>
    <row r="17" spans="1:38" s="67" customFormat="1" ht="24.75" customHeight="1" x14ac:dyDescent="0.2">
      <c r="A17" s="67">
        <v>1215</v>
      </c>
      <c r="B17" s="67">
        <f>VLOOKUP($A17,'اطلاعات پرسنل'!$A$1:$AL$102,16,0)</f>
        <v>2</v>
      </c>
      <c r="C17" s="4">
        <v>13</v>
      </c>
      <c r="D17" s="5" t="str">
        <f>VLOOKUP($A17,'اطلاعات پرسنل'!$A$1:$AL$102,3,0)</f>
        <v>انوشیروان</v>
      </c>
      <c r="E17" s="5" t="str">
        <f>VLOOKUP($A17,'اطلاعات پرسنل'!$A$1:$AL$111,4,0)</f>
        <v>صباغ زیارانی</v>
      </c>
      <c r="F17" s="25">
        <f>VLOOKUP($A17,'اطلاعات پرسنل'!$A$1:$AL$111,17,0)</f>
        <v>2</v>
      </c>
      <c r="G17" s="19">
        <f t="shared" si="9"/>
        <v>30.5</v>
      </c>
      <c r="H17" s="139">
        <f t="shared" si="10"/>
        <v>30.5</v>
      </c>
      <c r="I17" s="64">
        <f>VLOOKUP($A17,'اطلاعات پرسنل'!$A$1:$BW$111,21,0)</f>
        <v>1395327</v>
      </c>
      <c r="J17" s="64">
        <f>VLOOKUP($A17,'اطلاعات پرسنل'!$A$1:$BW$111,41,0)</f>
        <v>1843548</v>
      </c>
      <c r="K17" s="64">
        <f>VLOOKUP($A17,'اطلاعات پرسنل'!$A$1:$BH$110,37,0)/30*G17</f>
        <v>0</v>
      </c>
      <c r="L17" s="64">
        <v>0</v>
      </c>
      <c r="M17" s="19">
        <v>0</v>
      </c>
      <c r="N17" s="64">
        <f t="shared" si="1"/>
        <v>0</v>
      </c>
      <c r="O17" s="19"/>
      <c r="P17" s="64">
        <f t="shared" si="19"/>
        <v>0</v>
      </c>
      <c r="Q17" s="64"/>
      <c r="R17" s="64"/>
      <c r="S17" s="64">
        <f t="shared" si="11"/>
        <v>8498825</v>
      </c>
      <c r="T17" s="64">
        <f t="shared" si="12"/>
        <v>10793510.799999999</v>
      </c>
      <c r="U17" s="64">
        <v>0</v>
      </c>
      <c r="V17" s="18">
        <f t="shared" si="0"/>
        <v>0</v>
      </c>
      <c r="W17" s="64">
        <v>0</v>
      </c>
      <c r="X17" s="18">
        <f t="shared" si="3"/>
        <v>0</v>
      </c>
      <c r="Y17" s="21">
        <v>0</v>
      </c>
      <c r="Z17" s="21">
        <f t="shared" si="13"/>
        <v>0</v>
      </c>
      <c r="AA17" s="21">
        <v>0</v>
      </c>
      <c r="AB17" s="21">
        <f t="shared" si="14"/>
        <v>0</v>
      </c>
      <c r="AC17" s="21"/>
      <c r="AD17" s="21">
        <f t="shared" si="4"/>
        <v>0</v>
      </c>
      <c r="AE17" s="21"/>
      <c r="AF17" s="21">
        <f t="shared" si="15"/>
        <v>0</v>
      </c>
      <c r="AG17" s="64">
        <f t="shared" si="16"/>
        <v>6608333.333333333</v>
      </c>
      <c r="AH17" s="64">
        <f t="shared" si="5"/>
        <v>9150000</v>
      </c>
      <c r="AI17" s="64">
        <f t="shared" si="17"/>
        <v>8641666.666666666</v>
      </c>
      <c r="AJ17" s="64">
        <f t="shared" si="6"/>
        <v>11183333.333333334</v>
      </c>
      <c r="AK17" s="64">
        <f t="shared" si="7"/>
        <v>66306298.5</v>
      </c>
      <c r="AL17" s="64">
        <f t="shared" si="8"/>
        <v>87355058.133333325</v>
      </c>
    </row>
    <row r="18" spans="1:38" s="67" customFormat="1" ht="24.75" customHeight="1" x14ac:dyDescent="0.2">
      <c r="A18" s="67">
        <v>1216</v>
      </c>
      <c r="B18" s="67">
        <f>VLOOKUP($A18,'اطلاعات پرسنل'!$A$1:$AL$102,16,0)</f>
        <v>2</v>
      </c>
      <c r="C18" s="6">
        <v>14</v>
      </c>
      <c r="D18" s="5" t="str">
        <f>VLOOKUP($A18,'اطلاعات پرسنل'!$A$1:$AL$102,3,0)</f>
        <v>محمد رضا</v>
      </c>
      <c r="E18" s="5" t="str">
        <f>VLOOKUP($A18,'اطلاعات پرسنل'!$A$1:$AL$111,4,0)</f>
        <v>صفری زوارکی</v>
      </c>
      <c r="F18" s="25">
        <f>VLOOKUP($A18,'اطلاعات پرسنل'!$A$1:$AL$111,17,0)</f>
        <v>5</v>
      </c>
      <c r="G18" s="19">
        <f t="shared" si="9"/>
        <v>30.5</v>
      </c>
      <c r="H18" s="139">
        <f t="shared" si="10"/>
        <v>30.5</v>
      </c>
      <c r="I18" s="64">
        <f>VLOOKUP($A18,'اطلاعات پرسنل'!$A$1:$BW$111,21,0)</f>
        <v>1827430</v>
      </c>
      <c r="J18" s="64">
        <f>VLOOKUP($A18,'اطلاعات پرسنل'!$A$1:$BW$111,41,0)</f>
        <v>2365586.2999999998</v>
      </c>
      <c r="K18" s="64">
        <f>VLOOKUP($A18,'اطلاعات پرسنل'!$A$1:$BH$110,37,0)/30*G18</f>
        <v>0</v>
      </c>
      <c r="L18" s="64">
        <v>0</v>
      </c>
      <c r="M18" s="19">
        <v>0</v>
      </c>
      <c r="N18" s="64">
        <f t="shared" si="1"/>
        <v>0</v>
      </c>
      <c r="O18" s="19"/>
      <c r="P18" s="64">
        <f t="shared" si="19"/>
        <v>0</v>
      </c>
      <c r="Q18" s="64"/>
      <c r="R18" s="64"/>
      <c r="S18" s="64">
        <f t="shared" si="11"/>
        <v>8498825</v>
      </c>
      <c r="T18" s="64">
        <f t="shared" si="12"/>
        <v>10793510.799999999</v>
      </c>
      <c r="U18" s="64">
        <v>0</v>
      </c>
      <c r="V18" s="18">
        <f t="shared" si="0"/>
        <v>0</v>
      </c>
      <c r="W18" s="64">
        <v>0</v>
      </c>
      <c r="X18" s="18">
        <f t="shared" si="3"/>
        <v>0</v>
      </c>
      <c r="Y18" s="21">
        <v>0</v>
      </c>
      <c r="Z18" s="21">
        <f t="shared" si="13"/>
        <v>0</v>
      </c>
      <c r="AA18" s="21">
        <v>0</v>
      </c>
      <c r="AB18" s="21">
        <f t="shared" si="14"/>
        <v>0</v>
      </c>
      <c r="AC18" s="21"/>
      <c r="AD18" s="21">
        <f t="shared" si="4"/>
        <v>0</v>
      </c>
      <c r="AE18" s="21"/>
      <c r="AF18" s="21">
        <f t="shared" si="15"/>
        <v>0</v>
      </c>
      <c r="AG18" s="64">
        <f t="shared" si="16"/>
        <v>6608333.333333333</v>
      </c>
      <c r="AH18" s="64">
        <f t="shared" si="5"/>
        <v>9150000</v>
      </c>
      <c r="AI18" s="64">
        <f t="shared" si="17"/>
        <v>8641666.666666666</v>
      </c>
      <c r="AJ18" s="64">
        <f t="shared" si="6"/>
        <v>11183333.333333334</v>
      </c>
      <c r="AK18" s="64">
        <f t="shared" si="7"/>
        <v>79485440</v>
      </c>
      <c r="AL18" s="64">
        <f t="shared" si="8"/>
        <v>103277226.28333332</v>
      </c>
    </row>
    <row r="19" spans="1:38" s="67" customFormat="1" ht="24.75" customHeight="1" x14ac:dyDescent="0.2">
      <c r="A19" s="67">
        <v>1217</v>
      </c>
      <c r="B19" s="67">
        <v>2</v>
      </c>
      <c r="C19" s="4">
        <v>15</v>
      </c>
      <c r="D19" s="5" t="str">
        <f>VLOOKUP($A19,'اطلاعات پرسنل'!$A$1:$AL$102,3,0)</f>
        <v>جواد</v>
      </c>
      <c r="E19" s="5" t="str">
        <f>VLOOKUP($A19,'اطلاعات پرسنل'!$A$1:$AL$111,4,0)</f>
        <v>غلامی</v>
      </c>
      <c r="F19" s="25">
        <f>VLOOKUP($A19,'اطلاعات پرسنل'!$A$1:$AL$111,17,0)</f>
        <v>2</v>
      </c>
      <c r="G19" s="19">
        <v>30.5</v>
      </c>
      <c r="H19" s="139">
        <f t="shared" si="10"/>
        <v>30.5</v>
      </c>
      <c r="I19" s="64">
        <f>VLOOKUP($A19,'اطلاعات پرسنل'!$A$1:$BW$111,21,0)</f>
        <v>1395328</v>
      </c>
      <c r="J19" s="64">
        <f>VLOOKUP($A19,'اطلاعات پرسنل'!$A$1:$BW$111,41,0)</f>
        <v>1773348</v>
      </c>
      <c r="K19" s="64">
        <f>VLOOKUP($A19,'اطلاعات پرسنل'!$A$1:$BH$110,37,0)/30*G19</f>
        <v>0</v>
      </c>
      <c r="L19" s="64">
        <v>0</v>
      </c>
      <c r="M19" s="19">
        <v>0</v>
      </c>
      <c r="N19" s="64">
        <f t="shared" si="1"/>
        <v>0</v>
      </c>
      <c r="O19" s="19"/>
      <c r="P19" s="64">
        <f t="shared" si="19"/>
        <v>0</v>
      </c>
      <c r="Q19" s="64"/>
      <c r="R19" s="64"/>
      <c r="S19" s="64">
        <f t="shared" si="11"/>
        <v>8498825</v>
      </c>
      <c r="T19" s="64">
        <f t="shared" si="12"/>
        <v>10793510.799999999</v>
      </c>
      <c r="U19" s="64">
        <v>0</v>
      </c>
      <c r="V19" s="18">
        <f t="shared" si="0"/>
        <v>0</v>
      </c>
      <c r="W19" s="64">
        <v>0</v>
      </c>
      <c r="X19" s="18">
        <f>J19*1.4/7.3333333*W19</f>
        <v>0</v>
      </c>
      <c r="Y19" s="21">
        <v>0</v>
      </c>
      <c r="Z19" s="21">
        <f t="shared" si="13"/>
        <v>0</v>
      </c>
      <c r="AA19" s="21">
        <v>0</v>
      </c>
      <c r="AB19" s="21">
        <f>J19*1.4/7.3333333*AA19*1.4</f>
        <v>0</v>
      </c>
      <c r="AC19" s="21"/>
      <c r="AD19" s="21">
        <f>AC19*I19</f>
        <v>0</v>
      </c>
      <c r="AE19" s="21"/>
      <c r="AF19" s="21">
        <f>AE19*J19</f>
        <v>0</v>
      </c>
      <c r="AG19" s="64">
        <f t="shared" si="16"/>
        <v>6608333.333333333</v>
      </c>
      <c r="AH19" s="64">
        <f>9000000/30*H19</f>
        <v>9150000</v>
      </c>
      <c r="AI19" s="64">
        <f t="shared" si="17"/>
        <v>8641666.666666666</v>
      </c>
      <c r="AJ19" s="64">
        <f>11000000/30*H19</f>
        <v>11183333.333333334</v>
      </c>
      <c r="AK19" s="64">
        <f t="shared" si="7"/>
        <v>66306329</v>
      </c>
      <c r="AL19" s="64">
        <f t="shared" si="8"/>
        <v>85213958.133333325</v>
      </c>
    </row>
    <row r="20" spans="1:38" s="67" customFormat="1" ht="24.75" customHeight="1" x14ac:dyDescent="0.2">
      <c r="A20" s="67">
        <v>1218</v>
      </c>
      <c r="B20" s="67">
        <f>VLOOKUP($A20,'اطلاعات پرسنل'!$A$1:$AL$102,16,0)</f>
        <v>2</v>
      </c>
      <c r="C20" s="6">
        <v>16</v>
      </c>
      <c r="D20" s="5" t="str">
        <f>VLOOKUP($A20,'اطلاعات پرسنل'!$A$1:$AL$102,3,0)</f>
        <v>سیاوش</v>
      </c>
      <c r="E20" s="5" t="str">
        <f>VLOOKUP($A20,'اطلاعات پرسنل'!$A$1:$AL$111,4,0)</f>
        <v>فلاح خوبکوهی</v>
      </c>
      <c r="F20" s="25">
        <f>VLOOKUP($A20,'اطلاعات پرسنل'!$A$1:$AL$111,17,0)</f>
        <v>5</v>
      </c>
      <c r="G20" s="19">
        <f t="shared" si="9"/>
        <v>30.5</v>
      </c>
      <c r="H20" s="139">
        <f t="shared" si="10"/>
        <v>30.5</v>
      </c>
      <c r="I20" s="64">
        <f>VLOOKUP($A20,'اطلاعات پرسنل'!$A$1:$BW$111,21,0)</f>
        <v>1827430</v>
      </c>
      <c r="J20" s="64">
        <f>VLOOKUP($A20,'اطلاعات پرسنل'!$A$1:$BW$111,41,0)</f>
        <v>2365586.2999999998</v>
      </c>
      <c r="K20" s="64">
        <f>VLOOKUP($A20,'اطلاعات پرسنل'!$A$1:$BH$110,37,0)/30*G20</f>
        <v>0</v>
      </c>
      <c r="L20" s="64">
        <v>0</v>
      </c>
      <c r="M20" s="19">
        <v>0</v>
      </c>
      <c r="N20" s="64">
        <f t="shared" si="1"/>
        <v>0</v>
      </c>
      <c r="O20" s="19"/>
      <c r="P20" s="64">
        <f t="shared" si="19"/>
        <v>0</v>
      </c>
      <c r="Q20" s="64"/>
      <c r="R20" s="64"/>
      <c r="S20" s="64">
        <f t="shared" si="11"/>
        <v>8498825</v>
      </c>
      <c r="T20" s="64">
        <f t="shared" si="12"/>
        <v>10793510.799999999</v>
      </c>
      <c r="U20" s="64">
        <v>0</v>
      </c>
      <c r="V20" s="18">
        <f t="shared" si="0"/>
        <v>0</v>
      </c>
      <c r="W20" s="64">
        <v>15</v>
      </c>
      <c r="X20" s="18">
        <f t="shared" si="3"/>
        <v>6774178.9807917215</v>
      </c>
      <c r="Y20" s="21">
        <v>0</v>
      </c>
      <c r="Z20" s="21">
        <f t="shared" si="13"/>
        <v>0</v>
      </c>
      <c r="AA20" s="21">
        <v>0</v>
      </c>
      <c r="AB20" s="21">
        <f t="shared" si="14"/>
        <v>0</v>
      </c>
      <c r="AC20" s="21"/>
      <c r="AD20" s="21">
        <f t="shared" si="4"/>
        <v>0</v>
      </c>
      <c r="AE20" s="21">
        <v>4</v>
      </c>
      <c r="AF20" s="21">
        <f t="shared" si="15"/>
        <v>9462345.1999999993</v>
      </c>
      <c r="AG20" s="64">
        <f t="shared" si="16"/>
        <v>6608333.333333333</v>
      </c>
      <c r="AH20" s="64">
        <f t="shared" si="5"/>
        <v>9150000</v>
      </c>
      <c r="AI20" s="64">
        <f t="shared" si="17"/>
        <v>8641666.666666666</v>
      </c>
      <c r="AJ20" s="64">
        <f t="shared" si="6"/>
        <v>11183333.333333334</v>
      </c>
      <c r="AK20" s="64">
        <f t="shared" si="7"/>
        <v>79485440</v>
      </c>
      <c r="AL20" s="64">
        <f t="shared" si="8"/>
        <v>119513750.46412504</v>
      </c>
    </row>
    <row r="21" spans="1:38" s="67" customFormat="1" ht="24.75" customHeight="1" x14ac:dyDescent="0.2">
      <c r="A21" s="67">
        <v>1219</v>
      </c>
      <c r="B21" s="67">
        <f>VLOOKUP($A21,'اطلاعات پرسنل'!$A$1:$AL$102,16,0)</f>
        <v>2</v>
      </c>
      <c r="C21" s="4">
        <v>17</v>
      </c>
      <c r="D21" s="5" t="str">
        <f>VLOOKUP($A21,'اطلاعات پرسنل'!$A$1:$AL$102,3,0)</f>
        <v>علیرضا</v>
      </c>
      <c r="E21" s="5" t="str">
        <f>VLOOKUP($A21,'اطلاعات پرسنل'!$A$1:$AL$111,4,0)</f>
        <v>قدیری</v>
      </c>
      <c r="F21" s="25">
        <f>VLOOKUP($A21,'اطلاعات پرسنل'!$A$1:$AL$111,17,0)</f>
        <v>4</v>
      </c>
      <c r="G21" s="19">
        <f t="shared" si="9"/>
        <v>30.5</v>
      </c>
      <c r="H21" s="139">
        <f t="shared" si="10"/>
        <v>30.5</v>
      </c>
      <c r="I21" s="64">
        <f>VLOOKUP($A21,'اطلاعات پرسنل'!$A$1:$BW$111,21,0)</f>
        <v>1522678</v>
      </c>
      <c r="J21" s="64">
        <f>VLOOKUP($A21,'اطلاعات پرسنل'!$A$1:$BW$111,41,0)</f>
        <v>1996636.38</v>
      </c>
      <c r="K21" s="64">
        <f>VLOOKUP($A21,'اطلاعات پرسنل'!$A$1:$BH$110,37,0)/30*G21</f>
        <v>0</v>
      </c>
      <c r="L21" s="64">
        <v>0</v>
      </c>
      <c r="M21" s="19">
        <v>0</v>
      </c>
      <c r="N21" s="64">
        <f t="shared" si="1"/>
        <v>0</v>
      </c>
      <c r="O21" s="19"/>
      <c r="P21" s="64">
        <f t="shared" si="19"/>
        <v>0</v>
      </c>
      <c r="Q21" s="64"/>
      <c r="R21" s="64"/>
      <c r="S21" s="64">
        <f t="shared" si="11"/>
        <v>8498825</v>
      </c>
      <c r="T21" s="64">
        <f t="shared" si="12"/>
        <v>10793510.799999999</v>
      </c>
      <c r="U21" s="64">
        <v>85</v>
      </c>
      <c r="V21" s="18">
        <f t="shared" si="0"/>
        <v>24708911.294131413</v>
      </c>
      <c r="W21" s="64">
        <v>58</v>
      </c>
      <c r="X21" s="18">
        <f t="shared" si="3"/>
        <v>22108210.199037317</v>
      </c>
      <c r="Y21" s="21">
        <v>30</v>
      </c>
      <c r="Z21" s="21">
        <f t="shared" si="13"/>
        <v>12264858.410958901</v>
      </c>
      <c r="AA21" s="21">
        <v>42</v>
      </c>
      <c r="AB21" s="21">
        <f t="shared" si="14"/>
        <v>22413151.029368863</v>
      </c>
      <c r="AC21" s="21"/>
      <c r="AD21" s="21">
        <f t="shared" si="4"/>
        <v>0</v>
      </c>
      <c r="AE21" s="21"/>
      <c r="AF21" s="21">
        <f t="shared" si="15"/>
        <v>0</v>
      </c>
      <c r="AG21" s="64">
        <f t="shared" si="16"/>
        <v>6608333.333333333</v>
      </c>
      <c r="AH21" s="64">
        <f t="shared" si="5"/>
        <v>9150000</v>
      </c>
      <c r="AI21" s="64">
        <f t="shared" si="17"/>
        <v>8641666.666666666</v>
      </c>
      <c r="AJ21" s="64">
        <f t="shared" si="6"/>
        <v>11183333.333333334</v>
      </c>
      <c r="AK21" s="64">
        <f t="shared" si="7"/>
        <v>107164273.70509031</v>
      </c>
      <c r="AL21" s="64">
        <f t="shared" si="8"/>
        <v>136545614.95173952</v>
      </c>
    </row>
    <row r="22" spans="1:38" s="67" customFormat="1" ht="24.75" customHeight="1" x14ac:dyDescent="0.2">
      <c r="A22" s="67">
        <v>1220</v>
      </c>
      <c r="B22" s="67">
        <f>VLOOKUP($A22,'اطلاعات پرسنل'!$A$1:$AL$102,16,0)</f>
        <v>2</v>
      </c>
      <c r="C22" s="6">
        <v>18</v>
      </c>
      <c r="D22" s="5" t="str">
        <f>VLOOKUP($A22,'اطلاعات پرسنل'!$A$1:$AL$102,3,0)</f>
        <v>خسرو</v>
      </c>
      <c r="E22" s="5" t="str">
        <f>VLOOKUP($A22,'اطلاعات پرسنل'!$A$1:$AL$111,4,0)</f>
        <v>کاظمی</v>
      </c>
      <c r="F22" s="25">
        <f>VLOOKUP($A22,'اطلاعات پرسنل'!$A$1:$AL$111,17,0)</f>
        <v>7</v>
      </c>
      <c r="G22" s="19">
        <f t="shared" si="9"/>
        <v>30.5</v>
      </c>
      <c r="H22" s="139">
        <f t="shared" si="10"/>
        <v>30.5</v>
      </c>
      <c r="I22" s="64">
        <f>VLOOKUP($A22,'اطلاعات پرسنل'!$A$1:$BW$111,21,0)</f>
        <v>1654208</v>
      </c>
      <c r="J22" s="64">
        <f>VLOOKUP($A22,'اطلاعات پرسنل'!$A$1:$BW$111,41,0)</f>
        <v>2156387.6799999997</v>
      </c>
      <c r="K22" s="64">
        <f>VLOOKUP($A22,'اطلاعات پرسنل'!$A$1:$BH$110,37,0)/30*G22</f>
        <v>0</v>
      </c>
      <c r="L22" s="64">
        <v>0</v>
      </c>
      <c r="M22" s="19">
        <v>0</v>
      </c>
      <c r="N22" s="64">
        <f t="shared" si="1"/>
        <v>0</v>
      </c>
      <c r="O22" s="19"/>
      <c r="P22" s="64">
        <f t="shared" si="19"/>
        <v>0</v>
      </c>
      <c r="Q22" s="64"/>
      <c r="R22" s="64"/>
      <c r="S22" s="64">
        <f t="shared" si="11"/>
        <v>8498825</v>
      </c>
      <c r="T22" s="64">
        <f t="shared" si="12"/>
        <v>10793510.799999999</v>
      </c>
      <c r="U22" s="64">
        <v>90</v>
      </c>
      <c r="V22" s="18">
        <f t="shared" si="0"/>
        <v>28422301.220101368</v>
      </c>
      <c r="W22" s="64">
        <v>78</v>
      </c>
      <c r="X22" s="18">
        <f t="shared" si="3"/>
        <v>32110573.053593509</v>
      </c>
      <c r="Y22" s="21">
        <v>30</v>
      </c>
      <c r="Z22" s="21">
        <f t="shared" si="13"/>
        <v>13324305.534246573</v>
      </c>
      <c r="AA22" s="21">
        <v>42</v>
      </c>
      <c r="AB22" s="21">
        <f t="shared" si="14"/>
        <v>24206431.994247414</v>
      </c>
      <c r="AC22" s="21"/>
      <c r="AD22" s="21">
        <f t="shared" si="4"/>
        <v>0</v>
      </c>
      <c r="AE22" s="21"/>
      <c r="AF22" s="21">
        <f t="shared" si="15"/>
        <v>0</v>
      </c>
      <c r="AG22" s="64">
        <f t="shared" si="16"/>
        <v>6608333.333333333</v>
      </c>
      <c r="AH22" s="64">
        <f t="shared" si="5"/>
        <v>9150000</v>
      </c>
      <c r="AI22" s="64">
        <f t="shared" si="17"/>
        <v>8641666.666666666</v>
      </c>
      <c r="AJ22" s="64">
        <f t="shared" si="6"/>
        <v>11183333.333333334</v>
      </c>
      <c r="AK22" s="64">
        <f t="shared" si="7"/>
        <v>115948775.75434795</v>
      </c>
      <c r="AL22" s="64">
        <f t="shared" si="8"/>
        <v>153213673.42117426</v>
      </c>
    </row>
    <row r="23" spans="1:38" s="67" customFormat="1" ht="24.75" customHeight="1" x14ac:dyDescent="0.2">
      <c r="A23" s="67">
        <v>1221</v>
      </c>
      <c r="B23" s="67">
        <f>VLOOKUP($A23,'اطلاعات پرسنل'!$A$1:$AL$102,16,0)</f>
        <v>1</v>
      </c>
      <c r="C23" s="4">
        <v>19</v>
      </c>
      <c r="D23" s="5" t="str">
        <f>VLOOKUP($A23,'اطلاعات پرسنل'!$A$1:$AL$102,3,0)</f>
        <v>رضا</v>
      </c>
      <c r="E23" s="5" t="str">
        <f>VLOOKUP($A23,'اطلاعات پرسنل'!$A$1:$AL$111,4,0)</f>
        <v>کریمی</v>
      </c>
      <c r="F23" s="25">
        <f>VLOOKUP($A23,'اطلاعات پرسنل'!$A$1:$AL$111,17,0)</f>
        <v>6</v>
      </c>
      <c r="G23" s="19">
        <f t="shared" si="9"/>
        <v>30.5</v>
      </c>
      <c r="H23" s="139">
        <f t="shared" si="10"/>
        <v>30.5</v>
      </c>
      <c r="I23" s="64">
        <f>VLOOKUP($A23,'اطلاعات پرسنل'!$A$1:$BW$111,21,0)</f>
        <v>1395327</v>
      </c>
      <c r="J23" s="64">
        <f>VLOOKUP($A23,'اطلاعات پرسنل'!$A$1:$BW$111,41,0)</f>
        <v>1790351</v>
      </c>
      <c r="K23" s="64">
        <f>VLOOKUP($A23,'اطلاعات پرسنل'!$A$1:$BH$110,37,0)/30*G23</f>
        <v>0</v>
      </c>
      <c r="L23" s="64">
        <v>0</v>
      </c>
      <c r="M23" s="19">
        <v>0</v>
      </c>
      <c r="N23" s="64">
        <f t="shared" si="1"/>
        <v>0</v>
      </c>
      <c r="O23" s="19"/>
      <c r="P23" s="64">
        <f t="shared" si="19"/>
        <v>0</v>
      </c>
      <c r="Q23" s="64"/>
      <c r="R23" s="64"/>
      <c r="S23" s="64">
        <f t="shared" si="11"/>
        <v>4249412.5</v>
      </c>
      <c r="T23" s="64">
        <f t="shared" si="12"/>
        <v>5396755.3999999994</v>
      </c>
      <c r="U23" s="64">
        <v>80</v>
      </c>
      <c r="V23" s="18">
        <f t="shared" si="0"/>
        <v>21310448.824138403</v>
      </c>
      <c r="W23" s="64">
        <v>78</v>
      </c>
      <c r="X23" s="18">
        <f t="shared" si="3"/>
        <v>26659954.102999792</v>
      </c>
      <c r="Y23" s="21">
        <v>30</v>
      </c>
      <c r="Z23" s="21">
        <f t="shared" si="13"/>
        <v>11239072.273972601</v>
      </c>
      <c r="AA23" s="21">
        <v>42</v>
      </c>
      <c r="AB23" s="21">
        <f t="shared" si="14"/>
        <v>20097503.862261377</v>
      </c>
      <c r="AC23" s="21"/>
      <c r="AD23" s="21">
        <f t="shared" si="4"/>
        <v>0</v>
      </c>
      <c r="AE23" s="21">
        <v>4</v>
      </c>
      <c r="AF23" s="21">
        <f t="shared" si="15"/>
        <v>7161404</v>
      </c>
      <c r="AG23" s="64">
        <f t="shared" si="16"/>
        <v>6608333.333333333</v>
      </c>
      <c r="AH23" s="64">
        <f t="shared" si="5"/>
        <v>9150000</v>
      </c>
      <c r="AI23" s="64">
        <f t="shared" si="17"/>
        <v>8641666.666666666</v>
      </c>
      <c r="AJ23" s="64">
        <f t="shared" si="6"/>
        <v>11183333.333333334</v>
      </c>
      <c r="AK23" s="64">
        <f t="shared" si="7"/>
        <v>94606407.098111004</v>
      </c>
      <c r="AL23" s="64">
        <f t="shared" si="8"/>
        <v>134254656.19859451</v>
      </c>
    </row>
    <row r="24" spans="1:38" s="67" customFormat="1" ht="24.75" customHeight="1" x14ac:dyDescent="0.2">
      <c r="A24" s="67">
        <v>1222</v>
      </c>
      <c r="B24" s="67">
        <f>VLOOKUP($A24,'اطلاعات پرسنل'!$A$1:$AL$102,16,0)</f>
        <v>0</v>
      </c>
      <c r="C24" s="6">
        <v>20</v>
      </c>
      <c r="D24" s="5" t="str">
        <f>VLOOKUP($A24,'اطلاعات پرسنل'!$A$1:$AL$102,3,0)</f>
        <v>مرتضی</v>
      </c>
      <c r="E24" s="5" t="str">
        <f>VLOOKUP($A24,'اطلاعات پرسنل'!$A$1:$AL$111,4,0)</f>
        <v>کشاورز نصرتی</v>
      </c>
      <c r="F24" s="25">
        <f>VLOOKUP($A24,'اطلاعات پرسنل'!$A$1:$AL$111,17,0)</f>
        <v>6</v>
      </c>
      <c r="G24" s="19">
        <f t="shared" si="9"/>
        <v>30.5</v>
      </c>
      <c r="H24" s="139">
        <f t="shared" si="10"/>
        <v>30.5</v>
      </c>
      <c r="I24" s="64">
        <f>VLOOKUP($A24,'اطلاعات پرسنل'!$A$1:$BW$111,21,0)</f>
        <v>1506355</v>
      </c>
      <c r="J24" s="64">
        <f>VLOOKUP($A24,'اطلاعات پرسنل'!$A$1:$BW$111,41,0)</f>
        <v>1977285.55</v>
      </c>
      <c r="K24" s="64">
        <f>VLOOKUP($A24,'اطلاعات پرسنل'!$A$1:$BH$110,37,0)/30*G24</f>
        <v>0</v>
      </c>
      <c r="L24" s="64">
        <v>0</v>
      </c>
      <c r="M24" s="19">
        <v>0</v>
      </c>
      <c r="N24" s="64">
        <f t="shared" si="1"/>
        <v>0</v>
      </c>
      <c r="O24" s="19">
        <f>H24</f>
        <v>30.5</v>
      </c>
      <c r="P24" s="64">
        <f t="shared" si="19"/>
        <v>13569122.086875001</v>
      </c>
      <c r="Q24" s="64"/>
      <c r="R24" s="64"/>
      <c r="S24" s="64">
        <f t="shared" si="11"/>
        <v>0</v>
      </c>
      <c r="T24" s="64">
        <f t="shared" si="12"/>
        <v>0</v>
      </c>
      <c r="U24" s="64">
        <v>25</v>
      </c>
      <c r="V24" s="18">
        <f t="shared" si="0"/>
        <v>7189421.6235882808</v>
      </c>
      <c r="W24" s="64">
        <v>80</v>
      </c>
      <c r="X24" s="18">
        <f t="shared" si="3"/>
        <v>30198543.082720652</v>
      </c>
      <c r="Y24" s="21">
        <v>0</v>
      </c>
      <c r="Z24" s="21">
        <f t="shared" si="13"/>
        <v>0</v>
      </c>
      <c r="AA24" s="21">
        <v>0</v>
      </c>
      <c r="AB24" s="21">
        <f t="shared" si="14"/>
        <v>0</v>
      </c>
      <c r="AC24" s="21"/>
      <c r="AD24" s="21">
        <f t="shared" si="4"/>
        <v>0</v>
      </c>
      <c r="AE24" s="21"/>
      <c r="AF24" s="21">
        <f t="shared" si="15"/>
        <v>0</v>
      </c>
      <c r="AG24" s="64">
        <f t="shared" si="16"/>
        <v>6608333.333333333</v>
      </c>
      <c r="AH24" s="64">
        <f t="shared" si="5"/>
        <v>9150000</v>
      </c>
      <c r="AI24" s="64">
        <f t="shared" si="17"/>
        <v>8641666.666666666</v>
      </c>
      <c r="AJ24" s="64">
        <f t="shared" si="6"/>
        <v>11183333.333333334</v>
      </c>
      <c r="AK24" s="64">
        <f t="shared" si="7"/>
        <v>68383249.123588279</v>
      </c>
      <c r="AL24" s="64">
        <f t="shared" si="8"/>
        <v>124408207.77792898</v>
      </c>
    </row>
    <row r="25" spans="1:38" s="67" customFormat="1" ht="24.75" customHeight="1" x14ac:dyDescent="0.2">
      <c r="A25" s="67">
        <v>1224</v>
      </c>
      <c r="B25" s="67">
        <f>VLOOKUP($A25,'اطلاعات پرسنل'!$A$1:$AL$102,16,0)</f>
        <v>0</v>
      </c>
      <c r="C25" s="4">
        <v>21</v>
      </c>
      <c r="D25" s="5" t="str">
        <f>VLOOKUP($A25,'اطلاعات پرسنل'!$A$1:$AL$102,3,0)</f>
        <v xml:space="preserve">یوسف </v>
      </c>
      <c r="E25" s="5" t="str">
        <f>VLOOKUP($A25,'اطلاعات پرسنل'!$A$1:$AL$111,4,0)</f>
        <v>مافی</v>
      </c>
      <c r="F25" s="25">
        <f>VLOOKUP($A25,'اطلاعات پرسنل'!$A$1:$AL$111,17,0)</f>
        <v>2</v>
      </c>
      <c r="G25" s="19">
        <f t="shared" si="9"/>
        <v>30.5</v>
      </c>
      <c r="H25" s="139">
        <f t="shared" si="10"/>
        <v>30.5</v>
      </c>
      <c r="I25" s="64">
        <f>VLOOKUP($A25,'اطلاعات پرسنل'!$A$1:$BW$111,21,0)</f>
        <v>1395327</v>
      </c>
      <c r="J25" s="64">
        <f>VLOOKUP($A25,'اطلاعات پرسنل'!$A$1:$BW$111,41,0)</f>
        <v>1843548</v>
      </c>
      <c r="K25" s="64">
        <f>VLOOKUP($A25,'اطلاعات پرسنل'!$A$1:$BH$110,37,0)/30*G25</f>
        <v>0</v>
      </c>
      <c r="L25" s="64">
        <v>0</v>
      </c>
      <c r="M25" s="19">
        <v>0</v>
      </c>
      <c r="N25" s="64">
        <f>I25*22.5%*M25</f>
        <v>0</v>
      </c>
      <c r="O25" s="19"/>
      <c r="P25" s="64">
        <v>0</v>
      </c>
      <c r="Q25" s="64"/>
      <c r="R25" s="64"/>
      <c r="S25" s="64">
        <f>B25*4179750/30*G25</f>
        <v>0</v>
      </c>
      <c r="T25" s="64">
        <f>B25*5308284/30*H25</f>
        <v>0</v>
      </c>
      <c r="U25" s="64">
        <v>0</v>
      </c>
      <c r="V25" s="18">
        <f>I25*1.4/7.3333333*U25</f>
        <v>0</v>
      </c>
      <c r="W25" s="64">
        <v>0</v>
      </c>
      <c r="X25" s="18">
        <f>J25*1.4/7.3333333*W25</f>
        <v>0</v>
      </c>
      <c r="Y25" s="21">
        <v>0</v>
      </c>
      <c r="Z25" s="21">
        <f t="shared" si="13"/>
        <v>0</v>
      </c>
      <c r="AA25" s="21">
        <v>0</v>
      </c>
      <c r="AB25" s="21">
        <f>J25*1.4/7.3333333*AA25*1.4</f>
        <v>0</v>
      </c>
      <c r="AC25" s="21"/>
      <c r="AD25" s="21">
        <f>AC25*I25</f>
        <v>0</v>
      </c>
      <c r="AE25" s="21"/>
      <c r="AF25" s="21">
        <f>AE25*J25</f>
        <v>0</v>
      </c>
      <c r="AG25" s="64">
        <f t="shared" si="16"/>
        <v>6608333.333333333</v>
      </c>
      <c r="AH25" s="64">
        <f>9000000/30*H25</f>
        <v>9150000</v>
      </c>
      <c r="AI25" s="64">
        <f t="shared" si="17"/>
        <v>8641666.666666666</v>
      </c>
      <c r="AJ25" s="64">
        <f>11000000/30*H25</f>
        <v>11183333.333333334</v>
      </c>
      <c r="AK25" s="64">
        <f t="shared" si="7"/>
        <v>57807473.5</v>
      </c>
      <c r="AL25" s="64">
        <f t="shared" si="8"/>
        <v>76561547.333333328</v>
      </c>
    </row>
    <row r="26" spans="1:38" s="67" customFormat="1" ht="24.75" customHeight="1" x14ac:dyDescent="0.2">
      <c r="A26" s="67">
        <v>1223</v>
      </c>
      <c r="B26" s="67">
        <f>VLOOKUP($A26,'اطلاعات پرسنل'!$A$1:$AL$102,16,0)</f>
        <v>2</v>
      </c>
      <c r="C26" s="6">
        <v>22</v>
      </c>
      <c r="D26" s="5" t="str">
        <f>VLOOKUP($A26,'اطلاعات پرسنل'!$A$1:$AL$102,3,0)</f>
        <v>هاشم</v>
      </c>
      <c r="E26" s="5" t="str">
        <f>VLOOKUP($A26,'اطلاعات پرسنل'!$A$1:$AL$111,4,0)</f>
        <v>مافی</v>
      </c>
      <c r="F26" s="25">
        <f>VLOOKUP($A26,'اطلاعات پرسنل'!$A$1:$AL$111,17,0)</f>
        <v>2</v>
      </c>
      <c r="G26" s="19">
        <f t="shared" si="9"/>
        <v>30.5</v>
      </c>
      <c r="H26" s="139">
        <f t="shared" si="10"/>
        <v>30.5</v>
      </c>
      <c r="I26" s="64">
        <f>VLOOKUP($A26,'اطلاعات پرسنل'!$A$1:$BW$111,21,0)</f>
        <v>1654208</v>
      </c>
      <c r="J26" s="64">
        <f>VLOOKUP($A26,'اطلاعات پرسنل'!$A$1:$BW$111,41,0)</f>
        <v>2155387.6799999997</v>
      </c>
      <c r="K26" s="64">
        <f>VLOOKUP($A26,'اطلاعات پرسنل'!$A$1:$BH$110,37,0)/30*G26</f>
        <v>0</v>
      </c>
      <c r="L26" s="64">
        <v>0</v>
      </c>
      <c r="M26" s="19">
        <v>0</v>
      </c>
      <c r="N26" s="64">
        <f t="shared" si="1"/>
        <v>0</v>
      </c>
      <c r="O26" s="19"/>
      <c r="P26" s="64">
        <v>0</v>
      </c>
      <c r="Q26" s="64"/>
      <c r="R26" s="64"/>
      <c r="S26" s="64">
        <f t="shared" si="11"/>
        <v>8498825</v>
      </c>
      <c r="T26" s="64">
        <f t="shared" si="12"/>
        <v>10793510.799999999</v>
      </c>
      <c r="U26" s="64">
        <v>90</v>
      </c>
      <c r="V26" s="18">
        <f t="shared" si="0"/>
        <v>28422301.220101368</v>
      </c>
      <c r="W26" s="64">
        <v>78</v>
      </c>
      <c r="X26" s="18">
        <f t="shared" si="3"/>
        <v>32095682.14443491</v>
      </c>
      <c r="Y26" s="21">
        <v>30</v>
      </c>
      <c r="Z26" s="21">
        <f t="shared" si="13"/>
        <v>13324305.534246573</v>
      </c>
      <c r="AA26" s="21">
        <v>42</v>
      </c>
      <c r="AB26" s="21">
        <f t="shared" si="14"/>
        <v>24195206.539650932</v>
      </c>
      <c r="AC26" s="21"/>
      <c r="AD26" s="21">
        <f t="shared" si="4"/>
        <v>0</v>
      </c>
      <c r="AE26" s="21"/>
      <c r="AF26" s="21">
        <f t="shared" si="15"/>
        <v>0</v>
      </c>
      <c r="AG26" s="64">
        <f t="shared" si="16"/>
        <v>6608333.333333333</v>
      </c>
      <c r="AH26" s="64">
        <f t="shared" si="5"/>
        <v>9150000</v>
      </c>
      <c r="AI26" s="64">
        <f t="shared" si="17"/>
        <v>8641666.666666666</v>
      </c>
      <c r="AJ26" s="64">
        <f t="shared" si="6"/>
        <v>11183333.333333334</v>
      </c>
      <c r="AK26" s="64">
        <f t="shared" si="7"/>
        <v>115948775.75434795</v>
      </c>
      <c r="AL26" s="64">
        <f t="shared" si="8"/>
        <v>153157057.05741918</v>
      </c>
    </row>
    <row r="27" spans="1:38" s="67" customFormat="1" ht="24.75" customHeight="1" x14ac:dyDescent="0.2">
      <c r="A27" s="67">
        <v>1225</v>
      </c>
      <c r="B27" s="67">
        <f>VLOOKUP($A27,'اطلاعات پرسنل'!$A$1:$AL$102,16,0)</f>
        <v>0</v>
      </c>
      <c r="C27" s="4">
        <v>23</v>
      </c>
      <c r="D27" s="5" t="str">
        <f>VLOOKUP($A27,'اطلاعات پرسنل'!$A$1:$AL$102,3,0)</f>
        <v>زلفعلی</v>
      </c>
      <c r="E27" s="5" t="str">
        <f>VLOOKUP($A27,'اطلاعات پرسنل'!$A$1:$AL$111,4,0)</f>
        <v>مغانلو</v>
      </c>
      <c r="F27" s="25">
        <f>VLOOKUP($A27,'اطلاعات پرسنل'!$A$1:$AL$111,17,0)</f>
        <v>2</v>
      </c>
      <c r="G27" s="19">
        <f t="shared" si="9"/>
        <v>30.5</v>
      </c>
      <c r="H27" s="139">
        <f t="shared" si="10"/>
        <v>30.5</v>
      </c>
      <c r="I27" s="64">
        <f>VLOOKUP($A27,'اطلاعات پرسنل'!$A$1:$BW$111,21,0)</f>
        <v>1440575</v>
      </c>
      <c r="J27" s="64">
        <f>VLOOKUP($A27,'اطلاعات پرسنل'!$A$1:$BW$111,41,0)</f>
        <v>1896891.75</v>
      </c>
      <c r="K27" s="64">
        <f>VLOOKUP($A27,'اطلاعات پرسنل'!$A$1:$BH$110,37,0)/30*G27</f>
        <v>0</v>
      </c>
      <c r="L27" s="64">
        <v>0</v>
      </c>
      <c r="M27" s="19">
        <v>0</v>
      </c>
      <c r="N27" s="64">
        <f t="shared" si="1"/>
        <v>0</v>
      </c>
      <c r="O27" s="19"/>
      <c r="P27" s="64">
        <v>0</v>
      </c>
      <c r="Q27" s="64"/>
      <c r="R27" s="64"/>
      <c r="S27" s="64">
        <f t="shared" si="11"/>
        <v>0</v>
      </c>
      <c r="T27" s="64">
        <f t="shared" si="12"/>
        <v>0</v>
      </c>
      <c r="U27" s="64">
        <v>70</v>
      </c>
      <c r="V27" s="18">
        <f t="shared" si="0"/>
        <v>19251320.542051457</v>
      </c>
      <c r="W27" s="64">
        <v>58</v>
      </c>
      <c r="X27" s="18">
        <f t="shared" si="3"/>
        <v>21003765.109108023</v>
      </c>
      <c r="Y27" s="21">
        <v>30</v>
      </c>
      <c r="Z27" s="21">
        <f t="shared" si="13"/>
        <v>11603535.616438355</v>
      </c>
      <c r="AA27" s="21">
        <v>42</v>
      </c>
      <c r="AB27" s="21">
        <f t="shared" si="14"/>
        <v>21293472.214061234</v>
      </c>
      <c r="AC27" s="21"/>
      <c r="AD27" s="21">
        <f t="shared" si="4"/>
        <v>0</v>
      </c>
      <c r="AE27" s="21"/>
      <c r="AF27" s="21">
        <f t="shared" si="15"/>
        <v>0</v>
      </c>
      <c r="AG27" s="64">
        <f t="shared" si="16"/>
        <v>6608333.333333333</v>
      </c>
      <c r="AH27" s="64">
        <f t="shared" si="5"/>
        <v>9150000</v>
      </c>
      <c r="AI27" s="64">
        <f t="shared" si="17"/>
        <v>8641666.666666666</v>
      </c>
      <c r="AJ27" s="64">
        <f t="shared" si="6"/>
        <v>11183333.333333334</v>
      </c>
      <c r="AK27" s="64">
        <f t="shared" si="7"/>
        <v>90042393.658489808</v>
      </c>
      <c r="AL27" s="64">
        <f t="shared" si="8"/>
        <v>120485769.03150259</v>
      </c>
    </row>
    <row r="28" spans="1:38" s="67" customFormat="1" ht="24.75" customHeight="1" x14ac:dyDescent="0.2">
      <c r="A28" s="67">
        <v>1226</v>
      </c>
      <c r="B28" s="67">
        <f>VLOOKUP($A28,'اطلاعات پرسنل'!$A$1:$AL$102,16,0)</f>
        <v>2</v>
      </c>
      <c r="C28" s="6">
        <v>24</v>
      </c>
      <c r="D28" s="5" t="str">
        <f>VLOOKUP($A28,'اطلاعات پرسنل'!$A$1:$AL$102,3,0)</f>
        <v>سید مرتضی</v>
      </c>
      <c r="E28" s="5" t="str">
        <f>VLOOKUP($A28,'اطلاعات پرسنل'!$A$1:$AL$111,4,0)</f>
        <v>موسوی اسدی</v>
      </c>
      <c r="F28" s="25">
        <f>VLOOKUP($A28,'اطلاعات پرسنل'!$A$1:$AL$111,17,0)</f>
        <v>2</v>
      </c>
      <c r="G28" s="19">
        <f t="shared" si="9"/>
        <v>30.5</v>
      </c>
      <c r="H28" s="139">
        <f t="shared" si="10"/>
        <v>30.5</v>
      </c>
      <c r="I28" s="64">
        <f>VLOOKUP($A28,'اطلاعات پرسنل'!$A$1:$BW$111,21,0)</f>
        <v>1395327</v>
      </c>
      <c r="J28" s="64">
        <f>VLOOKUP($A28,'اطلاعات پرسنل'!$A$1:$BW$111,41,0)</f>
        <v>1843548</v>
      </c>
      <c r="K28" s="64">
        <f>VLOOKUP($A28,'اطلاعات پرسنل'!$A$1:$BH$110,37,0)/30*G28</f>
        <v>0</v>
      </c>
      <c r="L28" s="64">
        <v>0</v>
      </c>
      <c r="M28" s="19">
        <v>0</v>
      </c>
      <c r="N28" s="64">
        <f t="shared" si="1"/>
        <v>0</v>
      </c>
      <c r="O28" s="19"/>
      <c r="P28" s="64">
        <v>0</v>
      </c>
      <c r="Q28" s="64"/>
      <c r="R28" s="64"/>
      <c r="S28" s="64">
        <f t="shared" si="11"/>
        <v>8498825</v>
      </c>
      <c r="T28" s="64">
        <f t="shared" si="12"/>
        <v>10793510.799999999</v>
      </c>
      <c r="U28" s="64">
        <v>0</v>
      </c>
      <c r="V28" s="18">
        <f t="shared" si="0"/>
        <v>0</v>
      </c>
      <c r="W28" s="64">
        <v>0</v>
      </c>
      <c r="X28" s="18">
        <f t="shared" si="3"/>
        <v>0</v>
      </c>
      <c r="Y28" s="21">
        <v>0</v>
      </c>
      <c r="Z28" s="21">
        <f t="shared" si="13"/>
        <v>0</v>
      </c>
      <c r="AA28" s="21">
        <v>0</v>
      </c>
      <c r="AB28" s="21">
        <f t="shared" si="14"/>
        <v>0</v>
      </c>
      <c r="AC28" s="21"/>
      <c r="AD28" s="21">
        <f t="shared" si="4"/>
        <v>0</v>
      </c>
      <c r="AE28" s="21"/>
      <c r="AF28" s="21">
        <f t="shared" si="15"/>
        <v>0</v>
      </c>
      <c r="AG28" s="64">
        <f t="shared" si="16"/>
        <v>6608333.333333333</v>
      </c>
      <c r="AH28" s="64">
        <f t="shared" si="5"/>
        <v>9150000</v>
      </c>
      <c r="AI28" s="64">
        <f t="shared" si="17"/>
        <v>8641666.666666666</v>
      </c>
      <c r="AJ28" s="64">
        <f t="shared" si="6"/>
        <v>11183333.333333334</v>
      </c>
      <c r="AK28" s="64">
        <f t="shared" si="7"/>
        <v>66306298.5</v>
      </c>
      <c r="AL28" s="64">
        <f t="shared" si="8"/>
        <v>87355058.133333325</v>
      </c>
    </row>
    <row r="29" spans="1:38" s="67" customFormat="1" ht="24.75" customHeight="1" x14ac:dyDescent="0.2">
      <c r="A29" s="67">
        <v>1227</v>
      </c>
      <c r="B29" s="67">
        <f>VLOOKUP($A29,'اطلاعات پرسنل'!$A$1:$AL$102,16,0)</f>
        <v>0</v>
      </c>
      <c r="C29" s="4">
        <v>25</v>
      </c>
      <c r="D29" s="5" t="str">
        <f>VLOOKUP($A29,'اطلاعات پرسنل'!$A$1:$AL$102,3,0)</f>
        <v>حسین</v>
      </c>
      <c r="E29" s="5" t="str">
        <f>VLOOKUP($A29,'اطلاعات پرسنل'!$A$1:$AL$111,4,0)</f>
        <v>مومنی</v>
      </c>
      <c r="F29" s="25">
        <f>VLOOKUP($A29,'اطلاعات پرسنل'!$A$1:$AL$111,17,0)</f>
        <v>2</v>
      </c>
      <c r="G29" s="19">
        <f t="shared" si="9"/>
        <v>30.5</v>
      </c>
      <c r="H29" s="139">
        <f t="shared" si="10"/>
        <v>30.5</v>
      </c>
      <c r="I29" s="64">
        <f>VLOOKUP($A29,'اطلاعات پرسنل'!$A$1:$BW$111,21,0)</f>
        <v>1395327</v>
      </c>
      <c r="J29" s="64">
        <f>VLOOKUP($A29,'اطلاعات پرسنل'!$A$1:$BW$111,41,0)</f>
        <v>1843548</v>
      </c>
      <c r="K29" s="64">
        <f>VLOOKUP($A29,'اطلاعات پرسنل'!$A$1:$BH$110,37,0)/30*G29</f>
        <v>0</v>
      </c>
      <c r="L29" s="64">
        <v>0</v>
      </c>
      <c r="M29" s="19">
        <v>0</v>
      </c>
      <c r="N29" s="64">
        <f t="shared" si="1"/>
        <v>0</v>
      </c>
      <c r="O29" s="19"/>
      <c r="P29" s="64">
        <v>0</v>
      </c>
      <c r="Q29" s="64"/>
      <c r="R29" s="64"/>
      <c r="S29" s="64">
        <f t="shared" si="11"/>
        <v>0</v>
      </c>
      <c r="T29" s="64">
        <f t="shared" si="12"/>
        <v>0</v>
      </c>
      <c r="U29" s="64">
        <v>0</v>
      </c>
      <c r="V29" s="18">
        <f t="shared" si="0"/>
        <v>0</v>
      </c>
      <c r="W29" s="64">
        <v>0</v>
      </c>
      <c r="X29" s="18">
        <f t="shared" si="3"/>
        <v>0</v>
      </c>
      <c r="Y29" s="21">
        <v>0</v>
      </c>
      <c r="Z29" s="21">
        <f t="shared" si="13"/>
        <v>0</v>
      </c>
      <c r="AA29" s="21">
        <v>0</v>
      </c>
      <c r="AB29" s="21">
        <f t="shared" si="14"/>
        <v>0</v>
      </c>
      <c r="AC29" s="21"/>
      <c r="AD29" s="21">
        <f t="shared" si="4"/>
        <v>0</v>
      </c>
      <c r="AE29" s="21"/>
      <c r="AF29" s="21">
        <f t="shared" si="15"/>
        <v>0</v>
      </c>
      <c r="AG29" s="64">
        <f t="shared" si="16"/>
        <v>6608333.333333333</v>
      </c>
      <c r="AH29" s="64">
        <f t="shared" si="5"/>
        <v>9150000</v>
      </c>
      <c r="AI29" s="64">
        <f t="shared" si="17"/>
        <v>8641666.666666666</v>
      </c>
      <c r="AJ29" s="64">
        <f t="shared" si="6"/>
        <v>11183333.333333334</v>
      </c>
      <c r="AK29" s="64">
        <f t="shared" si="7"/>
        <v>57807473.5</v>
      </c>
      <c r="AL29" s="64">
        <f t="shared" si="8"/>
        <v>76561547.333333328</v>
      </c>
    </row>
    <row r="30" spans="1:38" s="67" customFormat="1" ht="24.75" customHeight="1" x14ac:dyDescent="0.2">
      <c r="A30" s="67">
        <v>1228</v>
      </c>
      <c r="B30" s="67">
        <f>VLOOKUP($A30,'اطلاعات پرسنل'!$A$1:$AL$102,16,0)</f>
        <v>3</v>
      </c>
      <c r="C30" s="6">
        <v>26</v>
      </c>
      <c r="D30" s="5" t="str">
        <f>VLOOKUP($A30,'اطلاعات پرسنل'!$A$1:$AL$102,3,0)</f>
        <v>سید اسماعیل</v>
      </c>
      <c r="E30" s="5" t="str">
        <f>VLOOKUP($A30,'اطلاعات پرسنل'!$A$1:$AL$111,4,0)</f>
        <v>میرراجعی</v>
      </c>
      <c r="F30" s="25">
        <f>VLOOKUP($A30,'اطلاعات پرسنل'!$A$1:$AL$111,17,0)</f>
        <v>2</v>
      </c>
      <c r="G30" s="19">
        <f t="shared" si="9"/>
        <v>30.5</v>
      </c>
      <c r="H30" s="139">
        <f t="shared" si="10"/>
        <v>30.5</v>
      </c>
      <c r="I30" s="64">
        <f>VLOOKUP($A30,'اطلاعات پرسنل'!$A$1:$BW$111,21,0)</f>
        <v>1395330</v>
      </c>
      <c r="J30" s="64">
        <f>VLOOKUP($A30,'اطلاعات پرسنل'!$A$1:$BW$111,41,0)</f>
        <v>1773348</v>
      </c>
      <c r="K30" s="64">
        <f>VLOOKUP($A30,'اطلاعات پرسنل'!$A$1:$BH$110,37,0)/30*G30</f>
        <v>0</v>
      </c>
      <c r="L30" s="64">
        <v>0</v>
      </c>
      <c r="M30" s="19">
        <v>0</v>
      </c>
      <c r="N30" s="64">
        <f t="shared" si="1"/>
        <v>0</v>
      </c>
      <c r="O30" s="19"/>
      <c r="P30" s="64">
        <v>0</v>
      </c>
      <c r="Q30" s="64"/>
      <c r="R30" s="64"/>
      <c r="S30" s="64">
        <f t="shared" si="11"/>
        <v>12748237.5</v>
      </c>
      <c r="T30" s="64">
        <f t="shared" si="12"/>
        <v>16190266.200000001</v>
      </c>
      <c r="U30" s="64">
        <v>0</v>
      </c>
      <c r="V30" s="18">
        <f t="shared" si="0"/>
        <v>0</v>
      </c>
      <c r="W30" s="64">
        <v>0</v>
      </c>
      <c r="X30" s="18">
        <f t="shared" si="3"/>
        <v>0</v>
      </c>
      <c r="Y30" s="21">
        <v>0</v>
      </c>
      <c r="Z30" s="21">
        <f t="shared" si="13"/>
        <v>0</v>
      </c>
      <c r="AA30" s="21">
        <v>0</v>
      </c>
      <c r="AB30" s="21">
        <f t="shared" si="14"/>
        <v>0</v>
      </c>
      <c r="AC30" s="21"/>
      <c r="AD30" s="21">
        <f t="shared" si="4"/>
        <v>0</v>
      </c>
      <c r="AE30" s="21"/>
      <c r="AF30" s="21">
        <f t="shared" si="15"/>
        <v>0</v>
      </c>
      <c r="AG30" s="64">
        <f t="shared" si="16"/>
        <v>6608333.333333333</v>
      </c>
      <c r="AH30" s="64">
        <f t="shared" si="5"/>
        <v>9150000</v>
      </c>
      <c r="AI30" s="64">
        <f t="shared" si="17"/>
        <v>8641666.666666666</v>
      </c>
      <c r="AJ30" s="64">
        <f t="shared" si="6"/>
        <v>11183333.333333334</v>
      </c>
      <c r="AK30" s="64">
        <f t="shared" si="7"/>
        <v>70555802.5</v>
      </c>
      <c r="AL30" s="64">
        <f t="shared" si="8"/>
        <v>90610713.533333331</v>
      </c>
    </row>
    <row r="31" spans="1:38" s="67" customFormat="1" ht="24.75" customHeight="1" x14ac:dyDescent="0.2">
      <c r="A31" s="67">
        <v>1209</v>
      </c>
      <c r="B31" s="67">
        <f>VLOOKUP($A31,'اطلاعات پرسنل'!$A$1:$AL$102,16,0)</f>
        <v>0</v>
      </c>
      <c r="C31" s="4">
        <v>27</v>
      </c>
      <c r="D31" s="5" t="s">
        <v>62</v>
      </c>
      <c r="E31" s="5" t="s">
        <v>185</v>
      </c>
      <c r="F31" s="25">
        <v>13</v>
      </c>
      <c r="G31" s="19">
        <v>30.5</v>
      </c>
      <c r="H31" s="139">
        <f t="shared" si="10"/>
        <v>30.5</v>
      </c>
      <c r="I31" s="64">
        <f>VLOOKUP($A31,'اطلاعات پرسنل'!$A$1:$BW$111,21,0)</f>
        <v>1449476</v>
      </c>
      <c r="J31" s="64">
        <f>VLOOKUP($A31,'اطلاعات پرسنل'!$A$1:$BW$111,41,0)</f>
        <v>1837461</v>
      </c>
      <c r="K31" s="64"/>
      <c r="L31" s="64"/>
      <c r="M31" s="19">
        <v>30.5</v>
      </c>
      <c r="N31" s="64">
        <f t="shared" si="1"/>
        <v>9947029.0500000007</v>
      </c>
      <c r="O31" s="19">
        <f>H31</f>
        <v>30.5</v>
      </c>
      <c r="P31" s="64">
        <f>J31*22.5%*O31</f>
        <v>12609576.112500001</v>
      </c>
      <c r="Q31" s="64"/>
      <c r="R31" s="64"/>
      <c r="S31" s="64">
        <f t="shared" si="11"/>
        <v>0</v>
      </c>
      <c r="T31" s="64">
        <f t="shared" si="12"/>
        <v>0</v>
      </c>
      <c r="U31" s="64">
        <v>0</v>
      </c>
      <c r="V31" s="18">
        <f t="shared" si="0"/>
        <v>0</v>
      </c>
      <c r="W31" s="64"/>
      <c r="X31" s="18">
        <f t="shared" si="3"/>
        <v>0</v>
      </c>
      <c r="Y31" s="22">
        <v>0</v>
      </c>
      <c r="Z31" s="21">
        <f t="shared" si="13"/>
        <v>0</v>
      </c>
      <c r="AA31" s="21"/>
      <c r="AB31" s="21"/>
      <c r="AC31" s="21"/>
      <c r="AD31" s="21"/>
      <c r="AE31" s="21"/>
      <c r="AF31" s="21"/>
      <c r="AG31" s="64">
        <f t="shared" si="16"/>
        <v>6608333.333333333</v>
      </c>
      <c r="AH31" s="64">
        <f t="shared" ref="AH31" si="20">9000000/30*H31</f>
        <v>9150000</v>
      </c>
      <c r="AI31" s="64">
        <f t="shared" si="17"/>
        <v>8641666.666666666</v>
      </c>
      <c r="AJ31" s="64">
        <f t="shared" ref="AJ31" si="21">11000000/30*H31</f>
        <v>11183333.333333334</v>
      </c>
      <c r="AK31" s="64">
        <f t="shared" si="7"/>
        <v>69406047.049999997</v>
      </c>
      <c r="AL31" s="64">
        <f t="shared" si="8"/>
        <v>88985469.945833325</v>
      </c>
    </row>
    <row r="32" spans="1:38" s="67" customFormat="1" ht="24.75" customHeight="1" x14ac:dyDescent="0.2">
      <c r="A32" s="67">
        <v>1230</v>
      </c>
      <c r="B32" s="67">
        <f>VLOOKUP($A32,'اطلاعات پرسنل'!$A$1:$AL$102,16,0)</f>
        <v>0</v>
      </c>
      <c r="C32" s="6">
        <v>28</v>
      </c>
      <c r="D32" s="5" t="str">
        <f>VLOOKUP($A32,'اطلاعات پرسنل'!$A$1:$AL$102,3,0)</f>
        <v>علیرضا</v>
      </c>
      <c r="E32" s="5" t="str">
        <f>VLOOKUP($A32,'اطلاعات پرسنل'!$A$1:$AL$111,4,0)</f>
        <v>امیریان</v>
      </c>
      <c r="F32" s="25">
        <f>VLOOKUP($A32,'اطلاعات پرسنل'!$A$1:$AL$111,17,0)</f>
        <v>0</v>
      </c>
      <c r="G32" s="19">
        <v>0</v>
      </c>
      <c r="H32" s="139">
        <f t="shared" si="10"/>
        <v>30.5</v>
      </c>
      <c r="I32" s="64">
        <f>VLOOKUP($A32,'اطلاعات پرسنل'!$A$1:$BW$111,21,0)</f>
        <v>0</v>
      </c>
      <c r="J32" s="64">
        <f>VLOOKUP($A32,'اطلاعات پرسنل'!$A$1:$BW$111,41,0)</f>
        <v>1790351</v>
      </c>
      <c r="K32" s="64">
        <f>VLOOKUP($A32,'اطلاعات پرسنل'!$A$1:$BH$110,37,0)/30*G32</f>
        <v>0</v>
      </c>
      <c r="L32" s="64">
        <v>0</v>
      </c>
      <c r="M32" s="19">
        <v>0</v>
      </c>
      <c r="N32" s="64">
        <f t="shared" si="1"/>
        <v>0</v>
      </c>
      <c r="O32" s="19">
        <f>H32</f>
        <v>30.5</v>
      </c>
      <c r="P32" s="64">
        <f>J32*15%*O32</f>
        <v>8190855.8249999993</v>
      </c>
      <c r="Q32" s="64"/>
      <c r="R32" s="64"/>
      <c r="S32" s="64">
        <f t="shared" si="11"/>
        <v>0</v>
      </c>
      <c r="T32" s="64">
        <f t="shared" si="12"/>
        <v>0</v>
      </c>
      <c r="U32" s="64">
        <v>0</v>
      </c>
      <c r="V32" s="18">
        <f t="shared" si="0"/>
        <v>0</v>
      </c>
      <c r="W32" s="64">
        <v>95</v>
      </c>
      <c r="X32" s="18">
        <f t="shared" si="3"/>
        <v>32470456.920320258</v>
      </c>
      <c r="Y32" s="21">
        <v>0</v>
      </c>
      <c r="Z32" s="21">
        <f t="shared" si="13"/>
        <v>0</v>
      </c>
      <c r="AA32" s="21">
        <v>0</v>
      </c>
      <c r="AB32" s="21">
        <f>J32*1.4/7.3333333*AA32*1.4</f>
        <v>0</v>
      </c>
      <c r="AC32" s="21"/>
      <c r="AD32" s="21">
        <f>AC32*I32</f>
        <v>0</v>
      </c>
      <c r="AE32" s="21"/>
      <c r="AF32" s="21">
        <f>AE32*J32</f>
        <v>0</v>
      </c>
      <c r="AG32" s="64">
        <f t="shared" si="16"/>
        <v>0</v>
      </c>
      <c r="AH32" s="64">
        <f>9000000/30*H32</f>
        <v>9150000</v>
      </c>
      <c r="AI32" s="64">
        <f t="shared" si="17"/>
        <v>0</v>
      </c>
      <c r="AJ32" s="64">
        <f>11000000/30*H32</f>
        <v>11183333.333333334</v>
      </c>
      <c r="AK32" s="64">
        <f t="shared" si="7"/>
        <v>0</v>
      </c>
      <c r="AL32" s="64">
        <f t="shared" si="8"/>
        <v>115600351.57865359</v>
      </c>
    </row>
    <row r="33" spans="1:41" s="67" customFormat="1" ht="24.75" customHeight="1" x14ac:dyDescent="0.2">
      <c r="A33" s="67">
        <v>1229</v>
      </c>
      <c r="B33" s="67">
        <f>VLOOKUP($A33,'اطلاعات پرسنل'!$A$1:$AL$102,16,0)</f>
        <v>0</v>
      </c>
      <c r="C33" s="4">
        <v>29</v>
      </c>
      <c r="D33" s="5" t="str">
        <f>VLOOKUP($A33,'اطلاعات پرسنل'!$A$1:$AL$102,3,0)</f>
        <v>ابوالفضل</v>
      </c>
      <c r="E33" s="5" t="str">
        <f>VLOOKUP($A33,'اطلاعات پرسنل'!$A$1:$AL$111,4,0)</f>
        <v>دوستی شهرستانکی</v>
      </c>
      <c r="F33" s="25">
        <f>VLOOKUP($A33,'اطلاعات پرسنل'!$A$1:$AL$111,17,0)</f>
        <v>0</v>
      </c>
      <c r="G33" s="19">
        <v>0</v>
      </c>
      <c r="H33" s="139">
        <f t="shared" si="10"/>
        <v>30.5</v>
      </c>
      <c r="I33" s="64">
        <f>VLOOKUP($A33,'اطلاعات پرسنل'!$A$1:$BW$111,21,0)</f>
        <v>0</v>
      </c>
      <c r="J33" s="64">
        <f>VLOOKUP($A33,'اطلاعات پرسنل'!$A$1:$BW$111,41,0)</f>
        <v>2383566.04</v>
      </c>
      <c r="K33" s="64">
        <f>VLOOKUP($A33,'اطلاعات پرسنل'!$A$1:$BH$110,37,0)/30*G33</f>
        <v>0</v>
      </c>
      <c r="L33" s="64">
        <v>0</v>
      </c>
      <c r="M33" s="19">
        <v>0</v>
      </c>
      <c r="N33" s="64">
        <f t="shared" si="1"/>
        <v>0</v>
      </c>
      <c r="O33" s="19">
        <f>H33</f>
        <v>30.5</v>
      </c>
      <c r="P33" s="64">
        <f>J33*15%*O33</f>
        <v>10904814.633000001</v>
      </c>
      <c r="Q33" s="64"/>
      <c r="R33" s="64"/>
      <c r="S33" s="64">
        <f t="shared" si="11"/>
        <v>0</v>
      </c>
      <c r="T33" s="64">
        <f t="shared" si="12"/>
        <v>0</v>
      </c>
      <c r="U33" s="64">
        <v>0</v>
      </c>
      <c r="V33" s="18">
        <f t="shared" si="0"/>
        <v>0</v>
      </c>
      <c r="W33" s="64">
        <v>107</v>
      </c>
      <c r="X33" s="18">
        <f t="shared" si="3"/>
        <v>48689753.783862516</v>
      </c>
      <c r="Y33" s="21"/>
      <c r="Z33" s="21">
        <f t="shared" si="13"/>
        <v>0</v>
      </c>
      <c r="AA33" s="21"/>
      <c r="AB33" s="21">
        <f>J33*1.4/7.3333333*AA33*1.4</f>
        <v>0</v>
      </c>
      <c r="AC33" s="21"/>
      <c r="AD33" s="21">
        <f>AC33*I33</f>
        <v>0</v>
      </c>
      <c r="AE33" s="21"/>
      <c r="AF33" s="21">
        <f>AE33*J33</f>
        <v>0</v>
      </c>
      <c r="AG33" s="64">
        <f t="shared" si="16"/>
        <v>0</v>
      </c>
      <c r="AH33" s="64">
        <f>9000000/30*H33</f>
        <v>9150000</v>
      </c>
      <c r="AI33" s="64">
        <f t="shared" si="17"/>
        <v>0</v>
      </c>
      <c r="AJ33" s="64">
        <f>11000000/30*H33</f>
        <v>11183333.333333334</v>
      </c>
      <c r="AK33" s="64">
        <f t="shared" si="7"/>
        <v>0</v>
      </c>
      <c r="AL33" s="64">
        <f t="shared" si="8"/>
        <v>152626665.97019586</v>
      </c>
    </row>
    <row r="34" spans="1:41" s="67" customFormat="1" ht="24.75" customHeight="1" x14ac:dyDescent="0.2">
      <c r="A34" s="67">
        <v>1231</v>
      </c>
      <c r="B34" s="67">
        <f>VLOOKUP($A34,'اطلاعات پرسنل'!$A$1:$AL$102,16,0)</f>
        <v>0</v>
      </c>
      <c r="C34" s="6">
        <v>30</v>
      </c>
      <c r="D34" s="5" t="str">
        <f>VLOOKUP($A34,'اطلاعات پرسنل'!$A$1:$AL$102,3,0)</f>
        <v xml:space="preserve">مصطفی </v>
      </c>
      <c r="E34" s="5" t="str">
        <f>VLOOKUP($A34,'اطلاعات پرسنل'!$A$1:$AL$111,4,0)</f>
        <v>محبی</v>
      </c>
      <c r="F34" s="25">
        <f>VLOOKUP($A34,'اطلاعات پرسنل'!$A$1:$AL$111,17,0)</f>
        <v>0</v>
      </c>
      <c r="G34" s="19">
        <v>0</v>
      </c>
      <c r="H34" s="139">
        <f t="shared" si="10"/>
        <v>30.5</v>
      </c>
      <c r="I34" s="64">
        <f>VLOOKUP($A34,'اطلاعات پرسنل'!$A$1:$BW$111,21,0)</f>
        <v>0</v>
      </c>
      <c r="J34" s="64">
        <f>VLOOKUP($A34,'اطلاعات پرسنل'!$A$1:$BW$111,41,0)</f>
        <v>1790351</v>
      </c>
      <c r="K34" s="64">
        <f>VLOOKUP($A34,'اطلاعات پرسنل'!$A$1:$BH$110,37,0)/30*G34</f>
        <v>0</v>
      </c>
      <c r="L34" s="64">
        <v>0</v>
      </c>
      <c r="M34" s="19">
        <v>0</v>
      </c>
      <c r="N34" s="64">
        <f>I34*22.5%*M34</f>
        <v>0</v>
      </c>
      <c r="O34" s="19"/>
      <c r="P34" s="64">
        <f>K34*22.5%*O34</f>
        <v>0</v>
      </c>
      <c r="Q34" s="64"/>
      <c r="R34" s="64"/>
      <c r="S34" s="64">
        <f>B34*4179750/30*G34</f>
        <v>0</v>
      </c>
      <c r="T34" s="64">
        <f>B34*5308284/30*H34</f>
        <v>0</v>
      </c>
      <c r="U34" s="64">
        <v>0</v>
      </c>
      <c r="V34" s="18">
        <f>I34*1.4/7.3333333*U34</f>
        <v>0</v>
      </c>
      <c r="W34" s="64">
        <v>0</v>
      </c>
      <c r="X34" s="18">
        <f>J34*1.4/7.3333333*W34</f>
        <v>0</v>
      </c>
      <c r="Y34" s="21">
        <v>0</v>
      </c>
      <c r="Z34" s="21">
        <f>I34*1.4/7.3*Y34*1.4</f>
        <v>0</v>
      </c>
      <c r="AA34" s="21">
        <v>0</v>
      </c>
      <c r="AB34" s="21">
        <f>J34*1.4/7.3333333*AA34*1.4</f>
        <v>0</v>
      </c>
      <c r="AC34" s="21"/>
      <c r="AD34" s="21">
        <f>AC34*I34</f>
        <v>0</v>
      </c>
      <c r="AE34" s="21"/>
      <c r="AF34" s="21">
        <f>AE34*J34</f>
        <v>0</v>
      </c>
      <c r="AG34" s="64">
        <f>6500000/30*G34</f>
        <v>0</v>
      </c>
      <c r="AH34" s="64">
        <f>9000000/30*H34</f>
        <v>9150000</v>
      </c>
      <c r="AI34" s="64">
        <f>8500000/30*G34</f>
        <v>0</v>
      </c>
      <c r="AJ34" s="64">
        <f>11000000/30*H34</f>
        <v>11183333.333333334</v>
      </c>
      <c r="AK34" s="64">
        <f t="shared" si="7"/>
        <v>0</v>
      </c>
      <c r="AL34" s="64">
        <f t="shared" si="8"/>
        <v>74939038.833333328</v>
      </c>
    </row>
    <row r="35" spans="1:41" s="67" customFormat="1" ht="24.75" customHeight="1" x14ac:dyDescent="0.2">
      <c r="A35" s="67">
        <v>1205</v>
      </c>
      <c r="B35" s="67">
        <v>4</v>
      </c>
      <c r="C35" s="6">
        <v>6</v>
      </c>
      <c r="D35" s="5" t="s">
        <v>339</v>
      </c>
      <c r="E35" s="5" t="s">
        <v>340</v>
      </c>
      <c r="F35" s="25">
        <v>7</v>
      </c>
      <c r="G35" s="19">
        <v>30.5</v>
      </c>
      <c r="H35" s="139">
        <v>0</v>
      </c>
      <c r="I35" s="64">
        <v>1916885</v>
      </c>
      <c r="J35" s="64">
        <f>VLOOKUP($A35,'اطلاعات پرسنل'!$A$1:$BW$111,41,0)</f>
        <v>0</v>
      </c>
      <c r="K35" s="64"/>
      <c r="L35" s="64"/>
      <c r="M35" s="19"/>
      <c r="N35" s="64">
        <f>I35*22.5%*M35</f>
        <v>0</v>
      </c>
      <c r="O35" s="19"/>
      <c r="P35" s="64"/>
      <c r="Q35" s="64"/>
      <c r="R35" s="64"/>
      <c r="S35" s="64">
        <f>B35*4179750/30*G35</f>
        <v>16997650</v>
      </c>
      <c r="T35" s="64">
        <f>B35*5308284/30*H35</f>
        <v>0</v>
      </c>
      <c r="U35" s="64">
        <v>80</v>
      </c>
      <c r="V35" s="18">
        <f>I35*1.4/7.3333333*U35</f>
        <v>29276061.95125483</v>
      </c>
      <c r="W35" s="64"/>
      <c r="X35" s="18"/>
      <c r="Y35" s="21">
        <v>30</v>
      </c>
      <c r="Z35" s="21">
        <f>I35*1.4/7.3*Y35*1.4</f>
        <v>15440114.794520548</v>
      </c>
      <c r="AA35" s="21"/>
      <c r="AB35" s="21"/>
      <c r="AC35" s="21"/>
      <c r="AD35" s="21"/>
      <c r="AE35" s="21"/>
      <c r="AF35" s="21"/>
      <c r="AG35" s="64">
        <f>6500000/30*G35</f>
        <v>6608333.333333333</v>
      </c>
      <c r="AH35" s="64"/>
      <c r="AI35" s="64">
        <f>8500000/30*G35</f>
        <v>8641666.666666666</v>
      </c>
      <c r="AJ35" s="64"/>
      <c r="AK35" s="64">
        <f t="shared" si="7"/>
        <v>135428819.2457754</v>
      </c>
      <c r="AL35" s="64">
        <f t="shared" si="8"/>
        <v>0</v>
      </c>
    </row>
    <row r="36" spans="1:41" s="67" customFormat="1" ht="24.75" customHeight="1" x14ac:dyDescent="0.2">
      <c r="A36" s="67">
        <v>1210</v>
      </c>
      <c r="B36" s="67">
        <f>VLOOKUP($A36,'اطلاعات پرسنل'!$A$1:$AL$102,16,0)</f>
        <v>0</v>
      </c>
      <c r="C36" s="6">
        <v>10</v>
      </c>
      <c r="D36" s="5" t="str">
        <f>VLOOKUP($A36,'اطلاعات پرسنل'!$A$1:$AL$102,3,0)</f>
        <v>ایرج</v>
      </c>
      <c r="E36" s="5" t="str">
        <f>VLOOKUP($A36,'اطلاعات پرسنل'!$A$1:$AL$111,4,0)</f>
        <v>رضالو</v>
      </c>
      <c r="F36" s="25">
        <f>VLOOKUP($A36,'اطلاعات پرسنل'!$A$1:$AL$111,17,0)</f>
        <v>5</v>
      </c>
      <c r="G36" s="19">
        <f t="shared" si="9"/>
        <v>30.5</v>
      </c>
      <c r="H36" s="139">
        <v>0</v>
      </c>
      <c r="I36" s="64">
        <f>VLOOKUP($A36,'اطلاعات پرسنل'!$A$1:$BW$111,21,0)</f>
        <v>1827430</v>
      </c>
      <c r="J36" s="64">
        <f>VLOOKUP($A36,'اطلاعات پرسنل'!$A$1:$BW$111,41,0)</f>
        <v>0</v>
      </c>
      <c r="K36" s="64">
        <f>VLOOKUP($A36,'اطلاعات پرسنل'!$A$1:$BH$110,37,0)/30*G36</f>
        <v>0</v>
      </c>
      <c r="L36" s="64">
        <v>0</v>
      </c>
      <c r="M36" s="19">
        <v>0</v>
      </c>
      <c r="N36" s="64">
        <f>I36*22.5%*M36</f>
        <v>0</v>
      </c>
      <c r="O36" s="19">
        <v>0</v>
      </c>
      <c r="P36" s="64">
        <f>J36*22.5%*O36</f>
        <v>0</v>
      </c>
      <c r="Q36" s="64"/>
      <c r="R36" s="64"/>
      <c r="S36" s="64">
        <f>B36*4179750/30*G36</f>
        <v>0</v>
      </c>
      <c r="T36" s="64">
        <f>B36*5308284/30*H36</f>
        <v>0</v>
      </c>
      <c r="U36" s="64">
        <v>20</v>
      </c>
      <c r="V36" s="18">
        <f>I36*1.4/7.3333333*U36</f>
        <v>6977460.0317157283</v>
      </c>
      <c r="W36" s="64">
        <v>0</v>
      </c>
      <c r="X36" s="18">
        <f>J36*1.4/7.3333333*W36</f>
        <v>0</v>
      </c>
      <c r="Y36" s="21">
        <v>0</v>
      </c>
      <c r="Z36" s="21">
        <f>I36*1.4/7.3*Y36*1.4</f>
        <v>0</v>
      </c>
      <c r="AA36" s="21">
        <v>0</v>
      </c>
      <c r="AB36" s="21">
        <f>J36*1.4/7.3333333*AA36*1.4</f>
        <v>0</v>
      </c>
      <c r="AC36" s="21"/>
      <c r="AD36" s="21">
        <f>AC36*I36</f>
        <v>0</v>
      </c>
      <c r="AE36" s="21"/>
      <c r="AF36" s="21">
        <f>AE36*J36</f>
        <v>0</v>
      </c>
      <c r="AG36" s="64">
        <f>6500000/30*G36</f>
        <v>6608333.333333333</v>
      </c>
      <c r="AH36" s="64">
        <f>9000000/30*H36</f>
        <v>0</v>
      </c>
      <c r="AI36" s="64">
        <f>8500000/30*G36</f>
        <v>8641666.666666666</v>
      </c>
      <c r="AJ36" s="64">
        <f>11000000/30*H36</f>
        <v>0</v>
      </c>
      <c r="AK36" s="64">
        <f t="shared" si="7"/>
        <v>77964075.031715721</v>
      </c>
      <c r="AL36" s="64">
        <f t="shared" si="8"/>
        <v>0</v>
      </c>
    </row>
    <row r="37" spans="1:41" s="67" customFormat="1" ht="24.75" customHeight="1" x14ac:dyDescent="0.2">
      <c r="A37" s="67">
        <v>1169</v>
      </c>
      <c r="B37" s="67">
        <f>VLOOKUP($A37,'اطلاعات پرسنل'!$A$1:$AL$102,16,0)</f>
        <v>0</v>
      </c>
      <c r="C37" s="4">
        <v>25</v>
      </c>
      <c r="D37" s="5" t="s">
        <v>174</v>
      </c>
      <c r="E37" s="5" t="s">
        <v>345</v>
      </c>
      <c r="F37" s="25">
        <v>6</v>
      </c>
      <c r="G37" s="19">
        <v>30.5</v>
      </c>
      <c r="H37" s="139">
        <v>0</v>
      </c>
      <c r="I37" s="64">
        <f>VLOOKUP($A37,'اطلاعات پرسنل'!$A$1:$BW$111,21,0)</f>
        <v>1827430</v>
      </c>
      <c r="J37" s="64">
        <f>VLOOKUP($A37,'اطلاعات پرسنل'!$A$1:$BW$111,41,0)</f>
        <v>0</v>
      </c>
      <c r="K37" s="64"/>
      <c r="L37" s="64"/>
      <c r="M37" s="19"/>
      <c r="N37" s="64">
        <f>I37*22.5%*M37</f>
        <v>0</v>
      </c>
      <c r="O37" s="19"/>
      <c r="P37" s="64">
        <v>0</v>
      </c>
      <c r="Q37" s="64"/>
      <c r="R37" s="64"/>
      <c r="S37" s="64">
        <f>B37*4179750/30*G37</f>
        <v>0</v>
      </c>
      <c r="T37" s="64">
        <f>B37*5308284/30*H37</f>
        <v>0</v>
      </c>
      <c r="U37" s="64">
        <v>0</v>
      </c>
      <c r="V37" s="18">
        <f>I37*1.4/7.3333333*U37</f>
        <v>0</v>
      </c>
      <c r="W37" s="64"/>
      <c r="X37" s="18">
        <f>J37*1.4/7.3333333*W37</f>
        <v>0</v>
      </c>
      <c r="Y37" s="21">
        <v>0</v>
      </c>
      <c r="Z37" s="21">
        <f>I37*1.4/7.3*Y37*1.4</f>
        <v>0</v>
      </c>
      <c r="AA37" s="21"/>
      <c r="AB37" s="21"/>
      <c r="AC37" s="21"/>
      <c r="AD37" s="21"/>
      <c r="AE37" s="21"/>
      <c r="AF37" s="21"/>
      <c r="AG37" s="64">
        <f>6500000/30*G37</f>
        <v>6608333.333333333</v>
      </c>
      <c r="AH37" s="64"/>
      <c r="AI37" s="64">
        <f>8500000/30*G37</f>
        <v>8641666.666666666</v>
      </c>
      <c r="AJ37" s="64"/>
      <c r="AK37" s="64">
        <f t="shared" si="7"/>
        <v>70986615</v>
      </c>
      <c r="AL37" s="64">
        <f t="shared" si="8"/>
        <v>0</v>
      </c>
    </row>
    <row r="38" spans="1:41" s="67" customFormat="1" ht="24.75" customHeight="1" x14ac:dyDescent="0.2">
      <c r="A38" s="67">
        <v>1164</v>
      </c>
      <c r="B38" s="67">
        <f>VLOOKUP($A38,'اطلاعات پرسنل'!$A$1:$AL$102,16,0)</f>
        <v>2</v>
      </c>
      <c r="C38" s="6">
        <v>26</v>
      </c>
      <c r="D38" s="5" t="s">
        <v>34</v>
      </c>
      <c r="E38" s="5" t="s">
        <v>343</v>
      </c>
      <c r="F38" s="25">
        <v>4</v>
      </c>
      <c r="G38" s="19">
        <v>30.5</v>
      </c>
      <c r="H38" s="139">
        <v>0</v>
      </c>
      <c r="I38" s="64">
        <f>VLOOKUP($A38,'اطلاعات پرسنل'!$A$1:$BW$111,21,0)</f>
        <v>1522678</v>
      </c>
      <c r="J38" s="64">
        <f>VLOOKUP($A38,'اطلاعات پرسنل'!$A$1:$BW$111,41,0)</f>
        <v>0</v>
      </c>
      <c r="K38" s="64"/>
      <c r="L38" s="64"/>
      <c r="M38" s="19"/>
      <c r="N38" s="64">
        <f>I38*22.5%*M38</f>
        <v>0</v>
      </c>
      <c r="O38" s="19"/>
      <c r="P38" s="64">
        <v>0</v>
      </c>
      <c r="Q38" s="64"/>
      <c r="R38" s="64"/>
      <c r="S38" s="64">
        <f>B38*4179750/30*G38</f>
        <v>8498825</v>
      </c>
      <c r="T38" s="64">
        <f>B38*5308284/30*H38</f>
        <v>0</v>
      </c>
      <c r="U38" s="64">
        <v>65</v>
      </c>
      <c r="V38" s="18">
        <f>I38*1.4/7.3333333*U38</f>
        <v>18895049.813159317</v>
      </c>
      <c r="W38" s="64"/>
      <c r="X38" s="18">
        <f>J38*1.4/7.3333333*W38</f>
        <v>0</v>
      </c>
      <c r="Y38" s="21">
        <v>15</v>
      </c>
      <c r="Z38" s="21">
        <f>I38*1.4/7.3*Y38*1.4</f>
        <v>6132429.2054794505</v>
      </c>
      <c r="AA38" s="21"/>
      <c r="AB38" s="21"/>
      <c r="AC38" s="21"/>
      <c r="AD38" s="21"/>
      <c r="AE38" s="21"/>
      <c r="AF38" s="21"/>
      <c r="AG38" s="64">
        <f>6500000/30*G38</f>
        <v>6608333.333333333</v>
      </c>
      <c r="AH38" s="64"/>
      <c r="AI38" s="64">
        <f>8500000/30*G38</f>
        <v>8641666.666666666</v>
      </c>
      <c r="AJ38" s="64"/>
      <c r="AK38" s="64">
        <f t="shared" si="7"/>
        <v>95217983.01863876</v>
      </c>
      <c r="AL38" s="64">
        <f t="shared" si="8"/>
        <v>0</v>
      </c>
    </row>
    <row r="39" spans="1:41" s="67" customFormat="1" ht="6.75" customHeight="1" thickBot="1" x14ac:dyDescent="0.25">
      <c r="D39" s="32"/>
      <c r="E39" s="32"/>
      <c r="F39" s="8"/>
      <c r="G39" s="16"/>
      <c r="H39" s="16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</row>
    <row r="40" spans="1:41" s="67" customFormat="1" ht="24.75" customHeight="1" thickBot="1" x14ac:dyDescent="0.25">
      <c r="C40" s="207" t="s">
        <v>24</v>
      </c>
      <c r="D40" s="208"/>
      <c r="E40" s="208"/>
      <c r="F40" s="73"/>
      <c r="G40" s="31">
        <f>SUM(G5:G38)</f>
        <v>945.5</v>
      </c>
      <c r="H40" s="31">
        <f t="shared" ref="H40:AL40" si="22">SUM(H5:H38)</f>
        <v>915</v>
      </c>
      <c r="I40" s="31">
        <f t="shared" si="22"/>
        <v>49798036</v>
      </c>
      <c r="J40" s="31">
        <f t="shared" si="22"/>
        <v>61552402.509999998</v>
      </c>
      <c r="K40" s="31">
        <f t="shared" si="22"/>
        <v>0</v>
      </c>
      <c r="L40" s="31">
        <f t="shared" si="22"/>
        <v>0</v>
      </c>
      <c r="M40" s="31">
        <f t="shared" si="22"/>
        <v>122</v>
      </c>
      <c r="N40" s="31">
        <f t="shared" si="22"/>
        <v>52756848.112499997</v>
      </c>
      <c r="O40" s="31">
        <f t="shared" si="22"/>
        <v>213.5</v>
      </c>
      <c r="P40" s="31">
        <f t="shared" si="22"/>
        <v>100280327.37300001</v>
      </c>
      <c r="Q40" s="31">
        <f t="shared" si="22"/>
        <v>0</v>
      </c>
      <c r="R40" s="31">
        <f t="shared" si="22"/>
        <v>0</v>
      </c>
      <c r="S40" s="31">
        <f t="shared" si="22"/>
        <v>165727087.5</v>
      </c>
      <c r="T40" s="31">
        <f t="shared" si="22"/>
        <v>178092928.20000002</v>
      </c>
      <c r="U40" s="31">
        <f t="shared" si="22"/>
        <v>995</v>
      </c>
      <c r="V40" s="31">
        <f t="shared" si="22"/>
        <v>329913975.27233624</v>
      </c>
      <c r="W40" s="31">
        <f t="shared" si="22"/>
        <v>1238</v>
      </c>
      <c r="X40" s="31">
        <f t="shared" si="22"/>
        <v>511851456.23696119</v>
      </c>
      <c r="Y40" s="31">
        <f t="shared" si="22"/>
        <v>255</v>
      </c>
      <c r="Z40" s="31">
        <f t="shared" si="22"/>
        <v>112093041.69863012</v>
      </c>
      <c r="AA40" s="31">
        <f t="shared" si="22"/>
        <v>294</v>
      </c>
      <c r="AB40" s="31">
        <f t="shared" si="22"/>
        <v>164179783.52714446</v>
      </c>
      <c r="AC40" s="31">
        <f t="shared" si="22"/>
        <v>0</v>
      </c>
      <c r="AD40" s="31">
        <f t="shared" si="22"/>
        <v>0</v>
      </c>
      <c r="AE40" s="31">
        <f t="shared" si="22"/>
        <v>10</v>
      </c>
      <c r="AF40" s="31">
        <f t="shared" si="22"/>
        <v>21572202.899999999</v>
      </c>
      <c r="AG40" s="31">
        <f t="shared" si="22"/>
        <v>204858333.3333334</v>
      </c>
      <c r="AH40" s="31">
        <f t="shared" si="22"/>
        <v>274500000</v>
      </c>
      <c r="AI40" s="31">
        <f t="shared" si="22"/>
        <v>267891666.66666654</v>
      </c>
      <c r="AJ40" s="31">
        <f t="shared" si="22"/>
        <v>335500000</v>
      </c>
      <c r="AK40" s="31">
        <f t="shared" si="22"/>
        <v>2652081050.5834661</v>
      </c>
      <c r="AL40" s="31">
        <f t="shared" si="22"/>
        <v>3463324974.7921062</v>
      </c>
    </row>
    <row r="41" spans="1:41" s="67" customFormat="1" ht="6.75" customHeight="1" thickBot="1" x14ac:dyDescent="0.25">
      <c r="C41" s="8"/>
      <c r="D41" s="8"/>
      <c r="E41" s="8"/>
      <c r="F41" s="8"/>
      <c r="G41" s="16"/>
      <c r="H41" s="16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</row>
    <row r="42" spans="1:41" s="67" customFormat="1" ht="24.75" customHeight="1" thickBot="1" x14ac:dyDescent="0.25">
      <c r="C42" s="207" t="s">
        <v>346</v>
      </c>
      <c r="D42" s="208"/>
      <c r="E42" s="208"/>
      <c r="F42" s="84">
        <v>31</v>
      </c>
      <c r="G42" s="85">
        <f>G40/$F$42</f>
        <v>30.5</v>
      </c>
      <c r="H42" s="85"/>
      <c r="I42" s="15">
        <f>I40/$F$42</f>
        <v>1606388.2580645161</v>
      </c>
      <c r="J42" s="15"/>
      <c r="K42" s="15">
        <f t="shared" ref="K42:AK42" si="23">K40/$F$42</f>
        <v>0</v>
      </c>
      <c r="L42" s="15">
        <f t="shared" si="23"/>
        <v>0</v>
      </c>
      <c r="M42" s="85">
        <f t="shared" si="23"/>
        <v>3.935483870967742</v>
      </c>
      <c r="N42" s="15">
        <f t="shared" si="23"/>
        <v>1701833.8100806451</v>
      </c>
      <c r="O42" s="85"/>
      <c r="P42" s="15"/>
      <c r="Q42" s="15">
        <f t="shared" si="23"/>
        <v>0</v>
      </c>
      <c r="R42" s="15">
        <f t="shared" si="23"/>
        <v>0</v>
      </c>
      <c r="S42" s="15">
        <f t="shared" si="23"/>
        <v>5346035.0806451617</v>
      </c>
      <c r="T42" s="15"/>
      <c r="U42" s="85">
        <f t="shared" si="23"/>
        <v>32.096774193548384</v>
      </c>
      <c r="V42" s="15">
        <f t="shared" si="23"/>
        <v>10642386.29910762</v>
      </c>
      <c r="W42" s="85"/>
      <c r="X42" s="15"/>
      <c r="Y42" s="85">
        <f t="shared" si="23"/>
        <v>8.2258064516129039</v>
      </c>
      <c r="Z42" s="15">
        <f t="shared" si="23"/>
        <v>3615904.5709235524</v>
      </c>
      <c r="AA42" s="85"/>
      <c r="AB42" s="15"/>
      <c r="AC42" s="85">
        <f t="shared" ref="AC42:AD42" si="24">AC40/$F$42</f>
        <v>0</v>
      </c>
      <c r="AD42" s="15">
        <f t="shared" si="24"/>
        <v>0</v>
      </c>
      <c r="AE42" s="85"/>
      <c r="AF42" s="15"/>
      <c r="AG42" s="15">
        <f t="shared" si="23"/>
        <v>6608333.3333333358</v>
      </c>
      <c r="AH42" s="15"/>
      <c r="AI42" s="15">
        <f t="shared" si="23"/>
        <v>8641666.6666666623</v>
      </c>
      <c r="AJ42" s="15"/>
      <c r="AK42" s="15">
        <f t="shared" si="23"/>
        <v>85551001.631724715</v>
      </c>
      <c r="AL42" s="15"/>
    </row>
    <row r="43" spans="1:41" s="67" customFormat="1" ht="24.75" customHeight="1" thickBot="1" x14ac:dyDescent="0.25">
      <c r="C43" s="207" t="s">
        <v>531</v>
      </c>
      <c r="D43" s="208"/>
      <c r="E43" s="208"/>
      <c r="F43" s="84">
        <v>30</v>
      </c>
      <c r="G43" s="82"/>
      <c r="H43" s="85">
        <f>H40/$F$43</f>
        <v>30.5</v>
      </c>
      <c r="I43" s="15"/>
      <c r="J43" s="15">
        <f>J40/$F$43</f>
        <v>2051746.7503333332</v>
      </c>
      <c r="K43" s="15"/>
      <c r="L43" s="15"/>
      <c r="M43" s="85"/>
      <c r="N43" s="15"/>
      <c r="O43" s="15">
        <f>O40/$F$43</f>
        <v>7.1166666666666663</v>
      </c>
      <c r="P43" s="15">
        <f>P40/$F$43</f>
        <v>3342677.5791000002</v>
      </c>
      <c r="Q43" s="15"/>
      <c r="R43" s="15"/>
      <c r="S43" s="15"/>
      <c r="T43" s="15">
        <f>T40/$F$43</f>
        <v>5936430.9400000004</v>
      </c>
      <c r="U43" s="85"/>
      <c r="V43" s="15"/>
      <c r="W43" s="15">
        <f t="shared" ref="W43:X43" si="25">W40/$F$43</f>
        <v>41.266666666666666</v>
      </c>
      <c r="X43" s="15">
        <f t="shared" si="25"/>
        <v>17061715.207898706</v>
      </c>
      <c r="Y43" s="85"/>
      <c r="Z43" s="15"/>
      <c r="AA43" s="15">
        <f t="shared" ref="AA43:AB43" si="26">AA40/$F$43</f>
        <v>9.8000000000000007</v>
      </c>
      <c r="AB43" s="15">
        <f t="shared" si="26"/>
        <v>5472659.4509048155</v>
      </c>
      <c r="AC43" s="85"/>
      <c r="AD43" s="15"/>
      <c r="AE43" s="15">
        <f t="shared" ref="AE43:AF43" si="27">AE40/$F$43</f>
        <v>0.33333333333333331</v>
      </c>
      <c r="AF43" s="15">
        <f t="shared" si="27"/>
        <v>719073.42999999993</v>
      </c>
      <c r="AG43" s="15"/>
      <c r="AH43" s="15">
        <f>AH40/$F$43</f>
        <v>9150000</v>
      </c>
      <c r="AI43" s="15"/>
      <c r="AJ43" s="15">
        <f>AJ40/$F$43</f>
        <v>11183333.333333334</v>
      </c>
      <c r="AK43" s="15"/>
      <c r="AL43" s="15">
        <f>AL40/$F$43</f>
        <v>115444165.82640354</v>
      </c>
    </row>
    <row r="44" spans="1:41" s="67" customFormat="1" ht="24.75" customHeight="1" thickBot="1" x14ac:dyDescent="0.25">
      <c r="C44" s="8"/>
      <c r="D44" s="8"/>
      <c r="E44" s="8"/>
      <c r="F44" s="157"/>
      <c r="G44" s="158"/>
      <c r="H44" s="158"/>
      <c r="I44" s="17"/>
      <c r="J44" s="17"/>
      <c r="K44" s="17"/>
      <c r="L44" s="17"/>
      <c r="M44" s="159"/>
      <c r="N44" s="17"/>
      <c r="O44" s="159"/>
      <c r="P44" s="17"/>
      <c r="Q44" s="17"/>
      <c r="R44" s="17"/>
      <c r="S44" s="17"/>
      <c r="T44" s="17"/>
      <c r="U44" s="159"/>
      <c r="V44" s="17"/>
      <c r="W44" s="159"/>
      <c r="X44" s="17"/>
      <c r="Y44" s="159"/>
      <c r="Z44" s="17"/>
      <c r="AA44" s="159"/>
      <c r="AB44" s="17"/>
      <c r="AC44" s="159"/>
      <c r="AD44" s="17"/>
      <c r="AE44" s="159"/>
      <c r="AF44" s="17"/>
      <c r="AG44" s="17"/>
      <c r="AH44" s="17"/>
      <c r="AI44" s="17"/>
      <c r="AJ44" s="17"/>
      <c r="AK44" s="160"/>
      <c r="AL44" s="72"/>
      <c r="AN44" s="72">
        <v>1401</v>
      </c>
      <c r="AO44" s="72">
        <v>1401</v>
      </c>
    </row>
    <row r="45" spans="1:41" s="67" customFormat="1" ht="24.75" customHeight="1" x14ac:dyDescent="0.2">
      <c r="D45" s="7"/>
      <c r="E45" s="7"/>
      <c r="G45" s="12"/>
      <c r="H45" s="12"/>
      <c r="I45" s="7"/>
      <c r="J45" s="7"/>
      <c r="AM45" s="66" t="s">
        <v>25</v>
      </c>
      <c r="AN45" s="33"/>
      <c r="AO45" s="33"/>
    </row>
    <row r="46" spans="1:41" s="67" customFormat="1" ht="24.75" customHeight="1" x14ac:dyDescent="0.2">
      <c r="D46" s="86"/>
      <c r="E46" s="7"/>
      <c r="G46" s="12"/>
      <c r="H46" s="12"/>
      <c r="S46" s="67">
        <f>J43*31+P43+T43+X43+AB43+AF43+AH43+AJ43+AO47+AO48</f>
        <v>131858139.82907018</v>
      </c>
      <c r="AM46" s="6" t="s">
        <v>26</v>
      </c>
      <c r="AN46" s="21">
        <v>0</v>
      </c>
      <c r="AO46" s="21">
        <v>0</v>
      </c>
    </row>
    <row r="47" spans="1:41" s="67" customFormat="1" ht="24.75" customHeight="1" x14ac:dyDescent="0.2">
      <c r="D47" s="86"/>
      <c r="E47" s="7"/>
      <c r="G47" s="12"/>
      <c r="H47" s="12"/>
      <c r="AM47" s="6" t="s">
        <v>27</v>
      </c>
      <c r="AN47" s="21">
        <f>I42*5</f>
        <v>8031941.2903225804</v>
      </c>
      <c r="AO47" s="21">
        <f>J43*5</f>
        <v>10258733.751666665</v>
      </c>
    </row>
    <row r="48" spans="1:41" s="67" customFormat="1" ht="24.75" customHeight="1" x14ac:dyDescent="0.2">
      <c r="D48" s="7"/>
      <c r="E48" s="7"/>
      <c r="G48" s="12"/>
      <c r="H48" s="12"/>
      <c r="AM48" s="23" t="s">
        <v>6</v>
      </c>
      <c r="AN48" s="22">
        <f>AN47/2</f>
        <v>4015970.6451612902</v>
      </c>
      <c r="AO48" s="22">
        <f>AO47/2</f>
        <v>5129366.8758333325</v>
      </c>
    </row>
    <row r="49" spans="1:41" s="67" customFormat="1" ht="24.75" customHeight="1" x14ac:dyDescent="0.2">
      <c r="A49" s="2"/>
      <c r="B49" s="2"/>
      <c r="D49" s="7"/>
      <c r="E49" s="7"/>
      <c r="G49" s="12"/>
      <c r="H49" s="12"/>
      <c r="AM49" s="23" t="s">
        <v>28</v>
      </c>
      <c r="AN49" s="34">
        <v>0</v>
      </c>
      <c r="AO49" s="34">
        <v>0</v>
      </c>
    </row>
    <row r="50" spans="1:41" s="67" customFormat="1" ht="24.75" customHeight="1" thickBot="1" x14ac:dyDescent="0.25">
      <c r="A50" s="2"/>
      <c r="B50" s="2"/>
      <c r="C50" s="9"/>
      <c r="D50" s="9"/>
      <c r="E50" s="9"/>
      <c r="F50" s="9"/>
      <c r="G50" s="11"/>
      <c r="H50" s="11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M50" s="23" t="s">
        <v>29</v>
      </c>
      <c r="AN50" s="22">
        <v>0</v>
      </c>
      <c r="AO50" s="22">
        <v>0</v>
      </c>
    </row>
    <row r="51" spans="1:41" s="67" customFormat="1" ht="24.75" customHeight="1" thickBot="1" x14ac:dyDescent="0.25">
      <c r="A51" s="2"/>
      <c r="B51" s="2"/>
      <c r="D51" s="7"/>
      <c r="E51" s="7"/>
      <c r="G51" s="12"/>
      <c r="H51" s="12"/>
      <c r="AM51" s="24" t="s">
        <v>30</v>
      </c>
      <c r="AN51" s="20">
        <f>SUM(AN45:AN50)+AK42</f>
        <v>97598913.567208588</v>
      </c>
      <c r="AO51" s="20">
        <f>SUM(AO45:AO50)+AL43</f>
        <v>130832266.45390354</v>
      </c>
    </row>
    <row r="53" spans="1:41" ht="18.75" thickBot="1" x14ac:dyDescent="0.25"/>
    <row r="54" spans="1:41" ht="18.75" thickBot="1" x14ac:dyDescent="0.25">
      <c r="A54" s="10"/>
      <c r="C54" s="214" t="s">
        <v>14</v>
      </c>
      <c r="D54" s="216" t="s">
        <v>15</v>
      </c>
      <c r="E54" s="218" t="s">
        <v>16</v>
      </c>
      <c r="F54" s="209" t="s">
        <v>51</v>
      </c>
      <c r="G54" s="211" t="s">
        <v>335</v>
      </c>
      <c r="H54" s="211" t="s">
        <v>336</v>
      </c>
      <c r="I54" s="197" t="s">
        <v>17</v>
      </c>
      <c r="J54" s="198"/>
      <c r="K54" s="202" t="s">
        <v>9</v>
      </c>
      <c r="L54" s="202" t="s">
        <v>23</v>
      </c>
      <c r="M54" s="204" t="s">
        <v>18</v>
      </c>
      <c r="N54" s="205"/>
      <c r="O54" s="205"/>
      <c r="P54" s="206"/>
      <c r="Q54" s="202" t="s">
        <v>70</v>
      </c>
      <c r="R54" s="202" t="s">
        <v>69</v>
      </c>
      <c r="S54" s="197" t="s">
        <v>19</v>
      </c>
      <c r="T54" s="198"/>
      <c r="U54" s="199" t="s">
        <v>20</v>
      </c>
      <c r="V54" s="200"/>
      <c r="W54" s="200"/>
      <c r="X54" s="201"/>
      <c r="Y54" s="199" t="s">
        <v>180</v>
      </c>
      <c r="Z54" s="200"/>
      <c r="AA54" s="200" t="s">
        <v>180</v>
      </c>
      <c r="AB54" s="201"/>
      <c r="AC54" s="199" t="s">
        <v>332</v>
      </c>
      <c r="AD54" s="200"/>
      <c r="AE54" s="200" t="s">
        <v>332</v>
      </c>
      <c r="AF54" s="201"/>
      <c r="AG54" s="197" t="s">
        <v>21</v>
      </c>
      <c r="AH54" s="198"/>
      <c r="AI54" s="197" t="s">
        <v>22</v>
      </c>
      <c r="AJ54" s="198"/>
      <c r="AK54" s="197" t="s">
        <v>24</v>
      </c>
      <c r="AL54" s="198" t="s">
        <v>24</v>
      </c>
    </row>
    <row r="55" spans="1:41" ht="18.75" thickBot="1" x14ac:dyDescent="0.25">
      <c r="B55" s="2" t="s">
        <v>35</v>
      </c>
      <c r="C55" s="215"/>
      <c r="D55" s="217"/>
      <c r="E55" s="219"/>
      <c r="F55" s="210"/>
      <c r="G55" s="212"/>
      <c r="H55" s="212"/>
      <c r="I55" s="137">
        <v>1401</v>
      </c>
      <c r="J55" s="137">
        <v>1402</v>
      </c>
      <c r="K55" s="203"/>
      <c r="L55" s="203"/>
      <c r="M55" s="83" t="s">
        <v>181</v>
      </c>
      <c r="N55" s="63" t="s">
        <v>337</v>
      </c>
      <c r="O55" s="83" t="s">
        <v>181</v>
      </c>
      <c r="P55" s="63" t="s">
        <v>338</v>
      </c>
      <c r="Q55" s="203"/>
      <c r="R55" s="203"/>
      <c r="S55" s="137">
        <v>1401</v>
      </c>
      <c r="T55" s="137">
        <v>1402</v>
      </c>
      <c r="U55" s="83" t="s">
        <v>181</v>
      </c>
      <c r="V55" s="63" t="s">
        <v>337</v>
      </c>
      <c r="W55" s="83" t="s">
        <v>181</v>
      </c>
      <c r="X55" s="63" t="s">
        <v>338</v>
      </c>
      <c r="Y55" s="83" t="s">
        <v>181</v>
      </c>
      <c r="Z55" s="63" t="s">
        <v>337</v>
      </c>
      <c r="AA55" s="83" t="s">
        <v>181</v>
      </c>
      <c r="AB55" s="63" t="s">
        <v>338</v>
      </c>
      <c r="AC55" s="83" t="s">
        <v>181</v>
      </c>
      <c r="AD55" s="63" t="s">
        <v>337</v>
      </c>
      <c r="AE55" s="83" t="s">
        <v>181</v>
      </c>
      <c r="AF55" s="63" t="s">
        <v>338</v>
      </c>
      <c r="AG55" s="137">
        <v>1401</v>
      </c>
      <c r="AH55" s="137">
        <v>1402</v>
      </c>
      <c r="AI55" s="137">
        <v>1401</v>
      </c>
      <c r="AJ55" s="137">
        <v>1402</v>
      </c>
      <c r="AK55" s="137">
        <v>1403</v>
      </c>
      <c r="AL55" s="137">
        <v>1404</v>
      </c>
    </row>
    <row r="56" spans="1:41" s="67" customFormat="1" ht="24.75" customHeight="1" x14ac:dyDescent="0.2">
      <c r="A56" s="67">
        <v>1300</v>
      </c>
      <c r="B56" s="67">
        <f>VLOOKUP($A56,'اطلاعات پرسنل'!$A$1:$AL$102,28,0)</f>
        <v>1</v>
      </c>
      <c r="C56" s="66">
        <v>1</v>
      </c>
      <c r="D56" s="68" t="str">
        <f>VLOOKUP($A56,'اطلاعات پرسنل'!$A$1:$AL$102,3,0)</f>
        <v>یاسر</v>
      </c>
      <c r="E56" s="68" t="str">
        <f>VLOOKUP($A56,'اطلاعات پرسنل'!$A$1:$AL$111,4,0)</f>
        <v>پیرمردوند چگینی</v>
      </c>
      <c r="F56" s="25">
        <f>VLOOKUP($A56,'اطلاعات پرسنل'!$A$1:$AL$511,34,0)</f>
        <v>7</v>
      </c>
      <c r="G56" s="19">
        <v>0</v>
      </c>
      <c r="H56" s="139">
        <f t="shared" ref="H56:H68" si="28">$H$5</f>
        <v>30.5</v>
      </c>
      <c r="I56" s="64">
        <f>VLOOKUP($A56,'اطلاعات پرسنل'!$A$1:$BW$111,21,0)</f>
        <v>0</v>
      </c>
      <c r="J56" s="64">
        <f>VLOOKUP($A56,'اطلاعات پرسنل'!$A$1:$BW$111,41,0)</f>
        <v>1795587.49</v>
      </c>
      <c r="K56" s="64">
        <v>0</v>
      </c>
      <c r="L56" s="64">
        <v>0</v>
      </c>
      <c r="M56" s="19">
        <v>0</v>
      </c>
      <c r="N56" s="64">
        <f t="shared" ref="N56" si="29">I56*22.5%*M56</f>
        <v>0</v>
      </c>
      <c r="O56" s="19"/>
      <c r="P56" s="64">
        <f>J56*22.5%*O56</f>
        <v>0</v>
      </c>
      <c r="Q56" s="64"/>
      <c r="R56" s="64"/>
      <c r="S56" s="64">
        <f t="shared" ref="S56" si="30">B56*4179750/30*G56</f>
        <v>0</v>
      </c>
      <c r="T56" s="64">
        <f t="shared" ref="T56" si="31">B56*5308284/30*H56</f>
        <v>5396755.3999999994</v>
      </c>
      <c r="U56" s="64">
        <v>0</v>
      </c>
      <c r="V56" s="18">
        <f t="shared" ref="V56" si="32">I56*1.4/7.3333333*U56</f>
        <v>0</v>
      </c>
      <c r="W56" s="64">
        <v>50</v>
      </c>
      <c r="X56" s="18">
        <f t="shared" ref="X56" si="33">J56*1.4/7.3333333*W56</f>
        <v>17139698.846089542</v>
      </c>
      <c r="Y56" s="21">
        <v>0</v>
      </c>
      <c r="Z56" s="21">
        <f t="shared" ref="Z56" si="34">I56*1.4/7.3*Y56*1.4</f>
        <v>0</v>
      </c>
      <c r="AA56" s="21">
        <v>0</v>
      </c>
      <c r="AB56" s="21">
        <f>J56*1.4/7.3333333*AA56*1.4</f>
        <v>0</v>
      </c>
      <c r="AC56" s="21"/>
      <c r="AD56" s="21">
        <f>AC56*I56</f>
        <v>0</v>
      </c>
      <c r="AE56" s="21"/>
      <c r="AF56" s="21">
        <f>AE56*J56</f>
        <v>0</v>
      </c>
      <c r="AG56" s="64">
        <f t="shared" ref="AG56" si="35">6500000/30*G56</f>
        <v>0</v>
      </c>
      <c r="AH56" s="64">
        <f>9000000/30*H56</f>
        <v>9150000</v>
      </c>
      <c r="AI56" s="64">
        <f t="shared" ref="AI56" si="36">8500000/30*G56</f>
        <v>0</v>
      </c>
      <c r="AJ56" s="64">
        <f>11000000/30*H56</f>
        <v>11183333.333333334</v>
      </c>
      <c r="AK56" s="64">
        <f t="shared" ref="AK56" si="37">K56+L56+N56+V56+Q56+R56+S56+Z56+AG56+AI56+I56*G56+AD56</f>
        <v>0</v>
      </c>
      <c r="AL56" s="71">
        <f t="shared" ref="AL56:AL68" si="38">J56*H56+K56+L56+P56+T56+X56+AB56+AF56+AH56+AJ56</f>
        <v>97635206.024422869</v>
      </c>
    </row>
    <row r="57" spans="1:41" s="67" customFormat="1" ht="24.75" customHeight="1" x14ac:dyDescent="0.2">
      <c r="A57" s="67">
        <v>1301</v>
      </c>
      <c r="B57" s="67">
        <f>VLOOKUP($A57,'اطلاعات پرسنل'!$A$1:$AL$102,28,0)</f>
        <v>4</v>
      </c>
      <c r="C57" s="6">
        <v>2</v>
      </c>
      <c r="D57" s="5" t="str">
        <f>VLOOKUP($A57,'اطلاعات پرسنل'!$A$1:$AL$102,3,0)</f>
        <v>عزت اله</v>
      </c>
      <c r="E57" s="5" t="str">
        <f>VLOOKUP($A57,'اطلاعات پرسنل'!$A$1:$AL$111,4,0)</f>
        <v>جعفری</v>
      </c>
      <c r="F57" s="25">
        <f>VLOOKUP($A57,'اطلاعات پرسنل'!$A$1:$AL$511,34,0)</f>
        <v>2</v>
      </c>
      <c r="G57" s="19">
        <v>0</v>
      </c>
      <c r="H57" s="139">
        <f t="shared" si="28"/>
        <v>30.5</v>
      </c>
      <c r="I57" s="64">
        <f>VLOOKUP($A57,'اطلاعات پرسنل'!$A$1:$BW$111,21,0)</f>
        <v>0</v>
      </c>
      <c r="J57" s="64">
        <f>VLOOKUP($A57,'اطلاعات پرسنل'!$A$1:$BW$111,41,0)</f>
        <v>2267667.21</v>
      </c>
      <c r="K57" s="64">
        <v>0</v>
      </c>
      <c r="L57" s="64">
        <v>0</v>
      </c>
      <c r="M57" s="19">
        <v>0</v>
      </c>
      <c r="N57" s="64">
        <f t="shared" ref="N57:N68" si="39">I57*22.5%*M57</f>
        <v>0</v>
      </c>
      <c r="O57" s="19"/>
      <c r="P57" s="64">
        <f t="shared" ref="P57:P68" si="40">J57*22.5%*O57</f>
        <v>0</v>
      </c>
      <c r="Q57" s="64"/>
      <c r="R57" s="64"/>
      <c r="S57" s="64">
        <f t="shared" ref="S57:S68" si="41">B57*4179750/30*G57</f>
        <v>0</v>
      </c>
      <c r="T57" s="64">
        <f t="shared" ref="T57:T68" si="42">B57*5308284/30*H57</f>
        <v>21587021.599999998</v>
      </c>
      <c r="U57" s="64">
        <v>0</v>
      </c>
      <c r="V57" s="18">
        <f t="shared" ref="V57:V68" si="43">I57*1.4/7.3333333*U57</f>
        <v>0</v>
      </c>
      <c r="W57" s="64">
        <v>30</v>
      </c>
      <c r="X57" s="18">
        <f t="shared" ref="X57:X68" si="44">J57*1.4/7.3333333*W57</f>
        <v>12987548.625397947</v>
      </c>
      <c r="Y57" s="21">
        <v>0</v>
      </c>
      <c r="Z57" s="21">
        <f t="shared" ref="Z57:Z68" si="45">I57*1.4/7.3*Y57*1.4</f>
        <v>0</v>
      </c>
      <c r="AA57" s="21">
        <v>0</v>
      </c>
      <c r="AB57" s="21">
        <f t="shared" ref="AB57:AB68" si="46">J57*1.4/7.3333333*AA57*1.4</f>
        <v>0</v>
      </c>
      <c r="AC57" s="21"/>
      <c r="AD57" s="21">
        <f t="shared" ref="AD57:AD68" si="47">AC57*I57</f>
        <v>0</v>
      </c>
      <c r="AE57" s="21"/>
      <c r="AF57" s="21">
        <f t="shared" ref="AF57:AF68" si="48">AE57*J57</f>
        <v>0</v>
      </c>
      <c r="AG57" s="64">
        <f t="shared" ref="AG57:AG68" si="49">6500000/30*G57</f>
        <v>0</v>
      </c>
      <c r="AH57" s="64">
        <f t="shared" ref="AH57:AH68" si="50">9000000/30*H57</f>
        <v>9150000</v>
      </c>
      <c r="AI57" s="64">
        <f t="shared" ref="AI57:AI68" si="51">8500000/30*G57</f>
        <v>0</v>
      </c>
      <c r="AJ57" s="64">
        <f t="shared" ref="AJ57:AJ68" si="52">11000000/30*H57</f>
        <v>11183333.333333334</v>
      </c>
      <c r="AK57" s="64">
        <f t="shared" ref="AK57:AK68" si="53">K57+L57+N57+V57+Q57+R57+S57+Z57+AG57+AI57+I57*G57+AD57</f>
        <v>0</v>
      </c>
      <c r="AL57" s="64">
        <f t="shared" si="38"/>
        <v>124071753.46373127</v>
      </c>
    </row>
    <row r="58" spans="1:41" s="67" customFormat="1" ht="24.75" customHeight="1" x14ac:dyDescent="0.2">
      <c r="A58" s="67">
        <v>1302</v>
      </c>
      <c r="B58" s="67">
        <f>VLOOKUP($A58,'اطلاعات پرسنل'!$A$1:$AL$102,28,0)</f>
        <v>2</v>
      </c>
      <c r="C58" s="4">
        <v>3</v>
      </c>
      <c r="D58" s="5" t="str">
        <f>VLOOKUP($A58,'اطلاعات پرسنل'!$A$1:$AL$102,3,0)</f>
        <v>محمد</v>
      </c>
      <c r="E58" s="5" t="str">
        <f>VLOOKUP($A58,'اطلاعات پرسنل'!$A$1:$AL$111,4,0)</f>
        <v>چگینی</v>
      </c>
      <c r="F58" s="25">
        <f>VLOOKUP($A58,'اطلاعات پرسنل'!$A$1:$AL$511,34,0)</f>
        <v>2</v>
      </c>
      <c r="G58" s="19">
        <v>0</v>
      </c>
      <c r="H58" s="139">
        <f t="shared" si="28"/>
        <v>30.5</v>
      </c>
      <c r="I58" s="64">
        <f>VLOOKUP($A58,'اطلاعات پرسنل'!$A$1:$BW$111,21,0)</f>
        <v>0</v>
      </c>
      <c r="J58" s="64">
        <f>VLOOKUP($A58,'اطلاعات پرسنل'!$A$1:$BW$111,41,0)</f>
        <v>1773348</v>
      </c>
      <c r="K58" s="64">
        <v>0</v>
      </c>
      <c r="L58" s="64">
        <v>0</v>
      </c>
      <c r="M58" s="19">
        <v>0</v>
      </c>
      <c r="N58" s="64">
        <f t="shared" si="39"/>
        <v>0</v>
      </c>
      <c r="O58" s="19"/>
      <c r="P58" s="64">
        <f t="shared" si="40"/>
        <v>0</v>
      </c>
      <c r="Q58" s="64"/>
      <c r="R58" s="64"/>
      <c r="S58" s="64">
        <f t="shared" si="41"/>
        <v>0</v>
      </c>
      <c r="T58" s="64">
        <f t="shared" si="42"/>
        <v>10793510.799999999</v>
      </c>
      <c r="U58" s="64">
        <v>0</v>
      </c>
      <c r="V58" s="18">
        <f t="shared" si="43"/>
        <v>0</v>
      </c>
      <c r="W58" s="64">
        <v>50</v>
      </c>
      <c r="X58" s="18">
        <f t="shared" si="44"/>
        <v>16927412.804215513</v>
      </c>
      <c r="Y58" s="21">
        <v>0</v>
      </c>
      <c r="Z58" s="21">
        <f t="shared" si="45"/>
        <v>0</v>
      </c>
      <c r="AA58" s="21">
        <v>0</v>
      </c>
      <c r="AB58" s="21">
        <f t="shared" si="46"/>
        <v>0</v>
      </c>
      <c r="AC58" s="21"/>
      <c r="AD58" s="21">
        <f t="shared" si="47"/>
        <v>0</v>
      </c>
      <c r="AE58" s="21"/>
      <c r="AF58" s="21">
        <f t="shared" si="48"/>
        <v>0</v>
      </c>
      <c r="AG58" s="64">
        <f t="shared" si="49"/>
        <v>0</v>
      </c>
      <c r="AH58" s="64">
        <f t="shared" si="50"/>
        <v>9150000</v>
      </c>
      <c r="AI58" s="64">
        <f t="shared" si="51"/>
        <v>0</v>
      </c>
      <c r="AJ58" s="64">
        <f t="shared" si="52"/>
        <v>11183333.333333334</v>
      </c>
      <c r="AK58" s="64">
        <f t="shared" si="53"/>
        <v>0</v>
      </c>
      <c r="AL58" s="64">
        <f t="shared" si="38"/>
        <v>102141370.93754883</v>
      </c>
    </row>
    <row r="59" spans="1:41" s="67" customFormat="1" ht="24.75" customHeight="1" x14ac:dyDescent="0.2">
      <c r="A59" s="67">
        <v>1303</v>
      </c>
      <c r="B59" s="67">
        <f>VLOOKUP($A59,'اطلاعات پرسنل'!$A$1:$AL$102,28,0)</f>
        <v>0</v>
      </c>
      <c r="C59" s="6">
        <v>4</v>
      </c>
      <c r="D59" s="5" t="str">
        <f>VLOOKUP($A59,'اطلاعات پرسنل'!$A$1:$AL$102,3,0)</f>
        <v>حسین</v>
      </c>
      <c r="E59" s="5" t="str">
        <f>VLOOKUP($A59,'اطلاعات پرسنل'!$A$1:$AL$111,4,0)</f>
        <v>چگینی</v>
      </c>
      <c r="F59" s="25">
        <f>VLOOKUP($A59,'اطلاعات پرسنل'!$A$1:$AL$511,34,0)</f>
        <v>7</v>
      </c>
      <c r="G59" s="19">
        <v>0</v>
      </c>
      <c r="H59" s="139">
        <f t="shared" si="28"/>
        <v>30.5</v>
      </c>
      <c r="I59" s="64">
        <f>VLOOKUP($A59,'اطلاعات پرسنل'!$A$1:$BW$111,21,0)</f>
        <v>0</v>
      </c>
      <c r="J59" s="64">
        <f>VLOOKUP($A59,'اطلاعات پرسنل'!$A$1:$BW$111,41,0)</f>
        <v>2307439.2399999998</v>
      </c>
      <c r="K59" s="64">
        <v>0</v>
      </c>
      <c r="L59" s="64">
        <v>0</v>
      </c>
      <c r="M59" s="19">
        <v>0</v>
      </c>
      <c r="N59" s="64">
        <f t="shared" si="39"/>
        <v>0</v>
      </c>
      <c r="O59" s="19"/>
      <c r="P59" s="64">
        <f t="shared" si="40"/>
        <v>0</v>
      </c>
      <c r="Q59" s="64"/>
      <c r="R59" s="64"/>
      <c r="S59" s="64">
        <f t="shared" si="41"/>
        <v>0</v>
      </c>
      <c r="T59" s="64">
        <f t="shared" si="42"/>
        <v>0</v>
      </c>
      <c r="U59" s="64">
        <v>0</v>
      </c>
      <c r="V59" s="18">
        <f t="shared" si="43"/>
        <v>0</v>
      </c>
      <c r="W59" s="64">
        <v>50</v>
      </c>
      <c r="X59" s="18">
        <f t="shared" si="44"/>
        <v>22025556.481934346</v>
      </c>
      <c r="Y59" s="21">
        <v>0</v>
      </c>
      <c r="Z59" s="21">
        <f t="shared" si="45"/>
        <v>0</v>
      </c>
      <c r="AA59" s="21">
        <v>0</v>
      </c>
      <c r="AB59" s="21">
        <f t="shared" si="46"/>
        <v>0</v>
      </c>
      <c r="AC59" s="21"/>
      <c r="AD59" s="21">
        <f t="shared" si="47"/>
        <v>0</v>
      </c>
      <c r="AE59" s="21"/>
      <c r="AF59" s="21">
        <f t="shared" si="48"/>
        <v>0</v>
      </c>
      <c r="AG59" s="64">
        <f t="shared" si="49"/>
        <v>0</v>
      </c>
      <c r="AH59" s="64">
        <f t="shared" si="50"/>
        <v>9150000</v>
      </c>
      <c r="AI59" s="64">
        <f t="shared" si="51"/>
        <v>0</v>
      </c>
      <c r="AJ59" s="64">
        <f t="shared" si="52"/>
        <v>11183333.333333334</v>
      </c>
      <c r="AK59" s="64">
        <f t="shared" si="53"/>
        <v>0</v>
      </c>
      <c r="AL59" s="64">
        <f t="shared" si="38"/>
        <v>112735786.63526766</v>
      </c>
    </row>
    <row r="60" spans="1:41" s="67" customFormat="1" ht="24.75" customHeight="1" x14ac:dyDescent="0.2">
      <c r="A60" s="67">
        <v>1304</v>
      </c>
      <c r="B60" s="67">
        <f>VLOOKUP($A60,'اطلاعات پرسنل'!$A$1:$AL$102,28,0)</f>
        <v>1</v>
      </c>
      <c r="C60" s="4">
        <v>5</v>
      </c>
      <c r="D60" s="5" t="str">
        <f>VLOOKUP($A60,'اطلاعات پرسنل'!$A$1:$AL$102,3,0)</f>
        <v>روح اله</v>
      </c>
      <c r="E60" s="5" t="str">
        <f>VLOOKUP($A60,'اطلاعات پرسنل'!$A$1:$AL$111,4,0)</f>
        <v>چگینی</v>
      </c>
      <c r="F60" s="25">
        <f>VLOOKUP($A60,'اطلاعات پرسنل'!$A$1:$AL$511,34,0)</f>
        <v>7</v>
      </c>
      <c r="G60" s="19">
        <v>0</v>
      </c>
      <c r="H60" s="139">
        <f t="shared" si="28"/>
        <v>30.5</v>
      </c>
      <c r="I60" s="64">
        <f>VLOOKUP($A60,'اطلاعات پرسنل'!$A$1:$BW$111,21,0)</f>
        <v>0</v>
      </c>
      <c r="J60" s="64">
        <f>VLOOKUP($A60,'اطلاعات پرسنل'!$A$1:$BW$111,41,0)</f>
        <v>1795587.49</v>
      </c>
      <c r="K60" s="64">
        <v>0</v>
      </c>
      <c r="L60" s="64">
        <v>0</v>
      </c>
      <c r="M60" s="19">
        <v>0</v>
      </c>
      <c r="N60" s="64">
        <f t="shared" si="39"/>
        <v>0</v>
      </c>
      <c r="O60" s="19"/>
      <c r="P60" s="64">
        <f t="shared" si="40"/>
        <v>0</v>
      </c>
      <c r="Q60" s="64"/>
      <c r="R60" s="64"/>
      <c r="S60" s="64">
        <f t="shared" si="41"/>
        <v>0</v>
      </c>
      <c r="T60" s="64">
        <f t="shared" si="42"/>
        <v>5396755.3999999994</v>
      </c>
      <c r="U60" s="64">
        <v>0</v>
      </c>
      <c r="V60" s="18">
        <f t="shared" si="43"/>
        <v>0</v>
      </c>
      <c r="W60" s="64">
        <v>30</v>
      </c>
      <c r="X60" s="18">
        <f t="shared" si="44"/>
        <v>10283819.307653723</v>
      </c>
      <c r="Y60" s="21">
        <v>0</v>
      </c>
      <c r="Z60" s="21">
        <f t="shared" si="45"/>
        <v>0</v>
      </c>
      <c r="AA60" s="21">
        <v>0</v>
      </c>
      <c r="AB60" s="21">
        <f t="shared" si="46"/>
        <v>0</v>
      </c>
      <c r="AC60" s="21"/>
      <c r="AD60" s="21">
        <f t="shared" si="47"/>
        <v>0</v>
      </c>
      <c r="AE60" s="21"/>
      <c r="AF60" s="21">
        <f t="shared" si="48"/>
        <v>0</v>
      </c>
      <c r="AG60" s="64">
        <f t="shared" si="49"/>
        <v>0</v>
      </c>
      <c r="AH60" s="64">
        <f t="shared" si="50"/>
        <v>9150000</v>
      </c>
      <c r="AI60" s="64">
        <f t="shared" si="51"/>
        <v>0</v>
      </c>
      <c r="AJ60" s="64">
        <f t="shared" si="52"/>
        <v>11183333.333333334</v>
      </c>
      <c r="AK60" s="64">
        <f t="shared" si="53"/>
        <v>0</v>
      </c>
      <c r="AL60" s="64">
        <f t="shared" si="38"/>
        <v>90779326.485987052</v>
      </c>
    </row>
    <row r="61" spans="1:41" s="67" customFormat="1" ht="24.75" customHeight="1" x14ac:dyDescent="0.2">
      <c r="A61" s="67">
        <v>1305</v>
      </c>
      <c r="B61" s="67">
        <f>VLOOKUP($A61,'اطلاعات پرسنل'!$A$1:$AL$102,28,0)</f>
        <v>2</v>
      </c>
      <c r="C61" s="6">
        <v>6</v>
      </c>
      <c r="D61" s="5" t="str">
        <f>VLOOKUP($A61,'اطلاعات پرسنل'!$A$1:$AL$102,3,0)</f>
        <v>سید یاسین</v>
      </c>
      <c r="E61" s="5" t="str">
        <f>VLOOKUP($A61,'اطلاعات پرسنل'!$A$1:$AL$111,4,0)</f>
        <v>حسینی</v>
      </c>
      <c r="F61" s="25">
        <f>VLOOKUP($A61,'اطلاعات پرسنل'!$A$1:$AL$511,34,0)</f>
        <v>7</v>
      </c>
      <c r="G61" s="19">
        <v>0</v>
      </c>
      <c r="H61" s="139">
        <f t="shared" si="28"/>
        <v>30.5</v>
      </c>
      <c r="I61" s="64">
        <f>VLOOKUP($A61,'اطلاعات پرسنل'!$A$1:$BW$111,21,0)</f>
        <v>0</v>
      </c>
      <c r="J61" s="64">
        <f>VLOOKUP($A61,'اطلاعات پرسنل'!$A$1:$BW$111,41,0)</f>
        <v>2394036.52</v>
      </c>
      <c r="K61" s="64">
        <v>0</v>
      </c>
      <c r="L61" s="64">
        <v>0</v>
      </c>
      <c r="M61" s="19">
        <v>0</v>
      </c>
      <c r="N61" s="64">
        <f t="shared" si="39"/>
        <v>0</v>
      </c>
      <c r="O61" s="19"/>
      <c r="P61" s="64">
        <f t="shared" si="40"/>
        <v>0</v>
      </c>
      <c r="Q61" s="64"/>
      <c r="R61" s="64"/>
      <c r="S61" s="64">
        <f t="shared" si="41"/>
        <v>0</v>
      </c>
      <c r="T61" s="64">
        <f t="shared" si="42"/>
        <v>10793510.799999999</v>
      </c>
      <c r="U61" s="64">
        <v>0</v>
      </c>
      <c r="V61" s="18">
        <f t="shared" si="43"/>
        <v>0</v>
      </c>
      <c r="W61" s="64">
        <v>40</v>
      </c>
      <c r="X61" s="18">
        <f t="shared" si="44"/>
        <v>18281733.508553334</v>
      </c>
      <c r="Y61" s="21">
        <v>0</v>
      </c>
      <c r="Z61" s="21">
        <f t="shared" si="45"/>
        <v>0</v>
      </c>
      <c r="AA61" s="21">
        <v>0</v>
      </c>
      <c r="AB61" s="21">
        <f t="shared" si="46"/>
        <v>0</v>
      </c>
      <c r="AC61" s="21"/>
      <c r="AD61" s="21">
        <f t="shared" si="47"/>
        <v>0</v>
      </c>
      <c r="AE61" s="21"/>
      <c r="AF61" s="21">
        <f t="shared" si="48"/>
        <v>0</v>
      </c>
      <c r="AG61" s="64">
        <f t="shared" si="49"/>
        <v>0</v>
      </c>
      <c r="AH61" s="64">
        <f t="shared" si="50"/>
        <v>9150000</v>
      </c>
      <c r="AI61" s="64">
        <f t="shared" si="51"/>
        <v>0</v>
      </c>
      <c r="AJ61" s="64">
        <f t="shared" si="52"/>
        <v>11183333.333333334</v>
      </c>
      <c r="AK61" s="64">
        <f t="shared" si="53"/>
        <v>0</v>
      </c>
      <c r="AL61" s="64">
        <f t="shared" si="38"/>
        <v>122426691.50188665</v>
      </c>
    </row>
    <row r="62" spans="1:41" s="67" customFormat="1" ht="24.75" customHeight="1" x14ac:dyDescent="0.2">
      <c r="A62" s="67">
        <v>1306</v>
      </c>
      <c r="B62" s="67">
        <f>VLOOKUP($A62,'اطلاعات پرسنل'!$A$1:$AL$102,28,0)</f>
        <v>1</v>
      </c>
      <c r="C62" s="4">
        <v>7</v>
      </c>
      <c r="D62" s="5" t="str">
        <f>VLOOKUP($A62,'اطلاعات پرسنل'!$A$1:$AL$102,3,0)</f>
        <v>سید مجتبی</v>
      </c>
      <c r="E62" s="5" t="str">
        <f>VLOOKUP($A62,'اطلاعات پرسنل'!$A$1:$AL$111,4,0)</f>
        <v>سید موسوی</v>
      </c>
      <c r="F62" s="25">
        <f>VLOOKUP($A62,'اطلاعات پرسنل'!$A$1:$AL$511,34,0)</f>
        <v>2</v>
      </c>
      <c r="G62" s="19">
        <v>0</v>
      </c>
      <c r="H62" s="139">
        <f t="shared" si="28"/>
        <v>30.5</v>
      </c>
      <c r="I62" s="64">
        <f>VLOOKUP($A62,'اطلاعات پرسنل'!$A$1:$BW$111,21,0)</f>
        <v>0</v>
      </c>
      <c r="J62" s="64">
        <f>VLOOKUP($A62,'اطلاعات پرسنل'!$A$1:$BW$111,41,0)</f>
        <v>1773348</v>
      </c>
      <c r="K62" s="64">
        <v>0</v>
      </c>
      <c r="L62" s="64">
        <v>0</v>
      </c>
      <c r="M62" s="19">
        <v>0</v>
      </c>
      <c r="N62" s="64">
        <f t="shared" si="39"/>
        <v>0</v>
      </c>
      <c r="O62" s="19"/>
      <c r="P62" s="64">
        <f t="shared" si="40"/>
        <v>0</v>
      </c>
      <c r="Q62" s="64"/>
      <c r="R62" s="64"/>
      <c r="S62" s="64">
        <f t="shared" si="41"/>
        <v>0</v>
      </c>
      <c r="T62" s="64">
        <f t="shared" si="42"/>
        <v>5396755.3999999994</v>
      </c>
      <c r="U62" s="64">
        <v>0</v>
      </c>
      <c r="V62" s="18">
        <f t="shared" si="43"/>
        <v>0</v>
      </c>
      <c r="W62" s="64">
        <v>30</v>
      </c>
      <c r="X62" s="18">
        <f t="shared" si="44"/>
        <v>10156447.682529308</v>
      </c>
      <c r="Y62" s="21">
        <v>0</v>
      </c>
      <c r="Z62" s="21">
        <f t="shared" si="45"/>
        <v>0</v>
      </c>
      <c r="AA62" s="21">
        <v>0</v>
      </c>
      <c r="AB62" s="21">
        <f t="shared" si="46"/>
        <v>0</v>
      </c>
      <c r="AC62" s="21"/>
      <c r="AD62" s="21">
        <f t="shared" si="47"/>
        <v>0</v>
      </c>
      <c r="AE62" s="21"/>
      <c r="AF62" s="21">
        <f t="shared" si="48"/>
        <v>0</v>
      </c>
      <c r="AG62" s="64">
        <f t="shared" si="49"/>
        <v>0</v>
      </c>
      <c r="AH62" s="64">
        <f t="shared" si="50"/>
        <v>9150000</v>
      </c>
      <c r="AI62" s="64">
        <f t="shared" si="51"/>
        <v>0</v>
      </c>
      <c r="AJ62" s="64">
        <f t="shared" si="52"/>
        <v>11183333.333333334</v>
      </c>
      <c r="AK62" s="64">
        <f t="shared" si="53"/>
        <v>0</v>
      </c>
      <c r="AL62" s="64">
        <f t="shared" si="38"/>
        <v>89973650.415862635</v>
      </c>
    </row>
    <row r="63" spans="1:41" s="67" customFormat="1" ht="24.75" customHeight="1" x14ac:dyDescent="0.2">
      <c r="A63" s="67">
        <v>1307</v>
      </c>
      <c r="B63" s="67">
        <f>VLOOKUP($A63,'اطلاعات پرسنل'!$A$1:$AL$102,28,0)</f>
        <v>1</v>
      </c>
      <c r="C63" s="6">
        <v>8</v>
      </c>
      <c r="D63" s="5" t="str">
        <f>VLOOKUP($A63,'اطلاعات پرسنل'!$A$1:$AL$102,3,0)</f>
        <v>سید محمد</v>
      </c>
      <c r="E63" s="5" t="str">
        <f>VLOOKUP($A63,'اطلاعات پرسنل'!$A$1:$AL$111,4,0)</f>
        <v>سید موسوی</v>
      </c>
      <c r="F63" s="25">
        <f>VLOOKUP($A63,'اطلاعات پرسنل'!$A$1:$AL$511,34,0)</f>
        <v>2</v>
      </c>
      <c r="G63" s="19">
        <v>0</v>
      </c>
      <c r="H63" s="139">
        <f t="shared" si="28"/>
        <v>30.5</v>
      </c>
      <c r="I63" s="64">
        <f>VLOOKUP($A63,'اطلاعات پرسنل'!$A$1:$BW$111,21,0)</f>
        <v>0</v>
      </c>
      <c r="J63" s="64">
        <f>VLOOKUP($A63,'اطلاعات پرسنل'!$A$1:$BW$111,41,0)</f>
        <v>2233184.63</v>
      </c>
      <c r="K63" s="64">
        <v>0</v>
      </c>
      <c r="L63" s="64">
        <v>0</v>
      </c>
      <c r="M63" s="19">
        <v>0</v>
      </c>
      <c r="N63" s="64">
        <f t="shared" si="39"/>
        <v>0</v>
      </c>
      <c r="O63" s="19"/>
      <c r="P63" s="64">
        <f t="shared" si="40"/>
        <v>0</v>
      </c>
      <c r="Q63" s="64"/>
      <c r="R63" s="64"/>
      <c r="S63" s="64">
        <f t="shared" si="41"/>
        <v>0</v>
      </c>
      <c r="T63" s="64">
        <f t="shared" si="42"/>
        <v>5396755.3999999994</v>
      </c>
      <c r="U63" s="64">
        <v>0</v>
      </c>
      <c r="V63" s="18">
        <f t="shared" si="43"/>
        <v>0</v>
      </c>
      <c r="W63" s="64">
        <v>30</v>
      </c>
      <c r="X63" s="18">
        <f t="shared" si="44"/>
        <v>12790057.484500261</v>
      </c>
      <c r="Y63" s="21">
        <v>0</v>
      </c>
      <c r="Z63" s="21">
        <f t="shared" si="45"/>
        <v>0</v>
      </c>
      <c r="AA63" s="21">
        <v>0</v>
      </c>
      <c r="AB63" s="21">
        <f t="shared" si="46"/>
        <v>0</v>
      </c>
      <c r="AC63" s="21"/>
      <c r="AD63" s="21">
        <f t="shared" si="47"/>
        <v>0</v>
      </c>
      <c r="AE63" s="21"/>
      <c r="AF63" s="21">
        <f t="shared" si="48"/>
        <v>0</v>
      </c>
      <c r="AG63" s="64">
        <f t="shared" si="49"/>
        <v>0</v>
      </c>
      <c r="AH63" s="64">
        <f t="shared" si="50"/>
        <v>9150000</v>
      </c>
      <c r="AI63" s="64">
        <f t="shared" si="51"/>
        <v>0</v>
      </c>
      <c r="AJ63" s="64">
        <f t="shared" si="52"/>
        <v>11183333.333333334</v>
      </c>
      <c r="AK63" s="64">
        <f t="shared" si="53"/>
        <v>0</v>
      </c>
      <c r="AL63" s="64">
        <f t="shared" si="38"/>
        <v>106632277.4328336</v>
      </c>
    </row>
    <row r="64" spans="1:41" s="67" customFormat="1" ht="24.75" customHeight="1" x14ac:dyDescent="0.2">
      <c r="A64" s="67">
        <v>1308</v>
      </c>
      <c r="B64" s="67">
        <f>VLOOKUP($A64,'اطلاعات پرسنل'!$A$1:$AL$102,28,0)</f>
        <v>1</v>
      </c>
      <c r="C64" s="4">
        <v>9</v>
      </c>
      <c r="D64" s="5" t="str">
        <f>VLOOKUP($A64,'اطلاعات پرسنل'!$A$1:$AL$102,3,0)</f>
        <v>مسعود</v>
      </c>
      <c r="E64" s="5" t="str">
        <f>VLOOKUP($A64,'اطلاعات پرسنل'!$A$1:$AL$111,4,0)</f>
        <v>شهسواری</v>
      </c>
      <c r="F64" s="25">
        <f>VLOOKUP($A64,'اطلاعات پرسنل'!$A$1:$AL$511,34,0)</f>
        <v>7</v>
      </c>
      <c r="G64" s="19">
        <v>0</v>
      </c>
      <c r="H64" s="139">
        <f t="shared" si="28"/>
        <v>30.5</v>
      </c>
      <c r="I64" s="64">
        <f>VLOOKUP($A64,'اطلاعات پرسنل'!$A$1:$BW$111,21,0)</f>
        <v>0</v>
      </c>
      <c r="J64" s="64">
        <f>VLOOKUP($A64,'اطلاعات پرسنل'!$A$1:$BW$111,41,0)</f>
        <v>1795587.49</v>
      </c>
      <c r="K64" s="64">
        <v>0</v>
      </c>
      <c r="L64" s="64">
        <v>0</v>
      </c>
      <c r="M64" s="19">
        <v>0</v>
      </c>
      <c r="N64" s="64">
        <f t="shared" si="39"/>
        <v>0</v>
      </c>
      <c r="O64" s="19"/>
      <c r="P64" s="64">
        <f t="shared" si="40"/>
        <v>0</v>
      </c>
      <c r="Q64" s="64"/>
      <c r="R64" s="64"/>
      <c r="S64" s="64">
        <f t="shared" si="41"/>
        <v>0</v>
      </c>
      <c r="T64" s="64">
        <f t="shared" si="42"/>
        <v>5396755.3999999994</v>
      </c>
      <c r="U64" s="64">
        <v>0</v>
      </c>
      <c r="V64" s="18">
        <f t="shared" si="43"/>
        <v>0</v>
      </c>
      <c r="W64" s="64">
        <v>50</v>
      </c>
      <c r="X64" s="18">
        <f t="shared" si="44"/>
        <v>17139698.846089542</v>
      </c>
      <c r="Y64" s="21">
        <v>0</v>
      </c>
      <c r="Z64" s="21">
        <f t="shared" si="45"/>
        <v>0</v>
      </c>
      <c r="AA64" s="21">
        <v>0</v>
      </c>
      <c r="AB64" s="21">
        <f t="shared" si="46"/>
        <v>0</v>
      </c>
      <c r="AC64" s="21"/>
      <c r="AD64" s="21">
        <f t="shared" si="47"/>
        <v>0</v>
      </c>
      <c r="AE64" s="21"/>
      <c r="AF64" s="21">
        <f t="shared" si="48"/>
        <v>0</v>
      </c>
      <c r="AG64" s="64">
        <f t="shared" si="49"/>
        <v>0</v>
      </c>
      <c r="AH64" s="64">
        <f t="shared" si="50"/>
        <v>9150000</v>
      </c>
      <c r="AI64" s="64">
        <f t="shared" si="51"/>
        <v>0</v>
      </c>
      <c r="AJ64" s="64">
        <f t="shared" si="52"/>
        <v>11183333.333333334</v>
      </c>
      <c r="AK64" s="64">
        <f t="shared" si="53"/>
        <v>0</v>
      </c>
      <c r="AL64" s="64">
        <f t="shared" si="38"/>
        <v>97635206.024422869</v>
      </c>
    </row>
    <row r="65" spans="1:41" s="67" customFormat="1" ht="24.75" customHeight="1" x14ac:dyDescent="0.2">
      <c r="A65" s="67">
        <v>1309</v>
      </c>
      <c r="B65" s="67">
        <f>VLOOKUP($A65,'اطلاعات پرسنل'!$A$1:$AL$102,28,0)</f>
        <v>1</v>
      </c>
      <c r="C65" s="6">
        <v>10</v>
      </c>
      <c r="D65" s="5" t="str">
        <f>VLOOKUP($A65,'اطلاعات پرسنل'!$A$1:$AL$102,3,0)</f>
        <v>سید کاظم</v>
      </c>
      <c r="E65" s="5" t="str">
        <f>VLOOKUP($A65,'اطلاعات پرسنل'!$A$1:$AL$111,4,0)</f>
        <v>فلاح حسینی</v>
      </c>
      <c r="F65" s="25">
        <f>VLOOKUP($A65,'اطلاعات پرسنل'!$A$1:$AL$511,34,0)</f>
        <v>2</v>
      </c>
      <c r="G65" s="19">
        <v>0</v>
      </c>
      <c r="H65" s="139">
        <f t="shared" si="28"/>
        <v>30.5</v>
      </c>
      <c r="I65" s="64">
        <f>VLOOKUP($A65,'اطلاعات پرسنل'!$A$1:$BW$111,21,0)</f>
        <v>0</v>
      </c>
      <c r="J65" s="64">
        <f>VLOOKUP($A65,'اطلاعات پرسنل'!$A$1:$BW$111,41,0)</f>
        <v>1773348</v>
      </c>
      <c r="K65" s="64">
        <v>0</v>
      </c>
      <c r="L65" s="64">
        <v>0</v>
      </c>
      <c r="M65" s="19">
        <v>0</v>
      </c>
      <c r="N65" s="64">
        <f t="shared" si="39"/>
        <v>0</v>
      </c>
      <c r="O65" s="19"/>
      <c r="P65" s="64">
        <f t="shared" si="40"/>
        <v>0</v>
      </c>
      <c r="Q65" s="64"/>
      <c r="R65" s="64"/>
      <c r="S65" s="64">
        <f t="shared" si="41"/>
        <v>0</v>
      </c>
      <c r="T65" s="64">
        <f t="shared" si="42"/>
        <v>5396755.3999999994</v>
      </c>
      <c r="U65" s="64">
        <v>0</v>
      </c>
      <c r="V65" s="18">
        <f t="shared" si="43"/>
        <v>0</v>
      </c>
      <c r="W65" s="64">
        <v>30</v>
      </c>
      <c r="X65" s="18">
        <f t="shared" si="44"/>
        <v>10156447.682529308</v>
      </c>
      <c r="Y65" s="21">
        <v>0</v>
      </c>
      <c r="Z65" s="21">
        <f t="shared" si="45"/>
        <v>0</v>
      </c>
      <c r="AA65" s="21">
        <v>0</v>
      </c>
      <c r="AB65" s="21">
        <f t="shared" si="46"/>
        <v>0</v>
      </c>
      <c r="AC65" s="21"/>
      <c r="AD65" s="21">
        <f t="shared" si="47"/>
        <v>0</v>
      </c>
      <c r="AE65" s="21"/>
      <c r="AF65" s="21">
        <f t="shared" si="48"/>
        <v>0</v>
      </c>
      <c r="AG65" s="64">
        <f t="shared" si="49"/>
        <v>0</v>
      </c>
      <c r="AH65" s="64">
        <f t="shared" si="50"/>
        <v>9150000</v>
      </c>
      <c r="AI65" s="64">
        <f t="shared" si="51"/>
        <v>0</v>
      </c>
      <c r="AJ65" s="64">
        <f t="shared" si="52"/>
        <v>11183333.333333334</v>
      </c>
      <c r="AK65" s="64">
        <f t="shared" si="53"/>
        <v>0</v>
      </c>
      <c r="AL65" s="64">
        <f t="shared" si="38"/>
        <v>89973650.415862635</v>
      </c>
    </row>
    <row r="66" spans="1:41" s="67" customFormat="1" ht="24.75" customHeight="1" x14ac:dyDescent="0.2">
      <c r="A66" s="67">
        <v>1310</v>
      </c>
      <c r="B66" s="67">
        <f>VLOOKUP($A66,'اطلاعات پرسنل'!$A$1:$AL$102,28,0)</f>
        <v>2</v>
      </c>
      <c r="C66" s="4">
        <v>11</v>
      </c>
      <c r="D66" s="5" t="str">
        <f>VLOOKUP($A66,'اطلاعات پرسنل'!$A$1:$AL$102,3,0)</f>
        <v>احمد</v>
      </c>
      <c r="E66" s="5" t="str">
        <f>VLOOKUP($A66,'اطلاعات پرسنل'!$A$1:$AL$111,4,0)</f>
        <v>کشاورز</v>
      </c>
      <c r="F66" s="25">
        <f>VLOOKUP($A66,'اطلاعات پرسنل'!$A$1:$AL$511,34,0)</f>
        <v>2</v>
      </c>
      <c r="G66" s="19">
        <v>0</v>
      </c>
      <c r="H66" s="139">
        <f t="shared" si="28"/>
        <v>30.5</v>
      </c>
      <c r="I66" s="64">
        <f>VLOOKUP($A66,'اطلاعات پرسنل'!$A$1:$BW$111,21,0)</f>
        <v>0</v>
      </c>
      <c r="J66" s="64">
        <f>VLOOKUP($A66,'اطلاعات پرسنل'!$A$1:$BW$111,41,0)</f>
        <v>2267667.21</v>
      </c>
      <c r="K66" s="64">
        <v>0</v>
      </c>
      <c r="L66" s="64">
        <v>0</v>
      </c>
      <c r="M66" s="19">
        <v>0</v>
      </c>
      <c r="N66" s="64">
        <f t="shared" si="39"/>
        <v>0</v>
      </c>
      <c r="O66" s="19"/>
      <c r="P66" s="64">
        <f t="shared" si="40"/>
        <v>0</v>
      </c>
      <c r="Q66" s="64"/>
      <c r="R66" s="64"/>
      <c r="S66" s="64">
        <f t="shared" si="41"/>
        <v>0</v>
      </c>
      <c r="T66" s="64">
        <f t="shared" si="42"/>
        <v>10793510.799999999</v>
      </c>
      <c r="U66" s="64">
        <v>0</v>
      </c>
      <c r="V66" s="18">
        <f t="shared" si="43"/>
        <v>0</v>
      </c>
      <c r="W66" s="64">
        <v>30</v>
      </c>
      <c r="X66" s="18">
        <f t="shared" si="44"/>
        <v>12987548.625397947</v>
      </c>
      <c r="Y66" s="21">
        <v>0</v>
      </c>
      <c r="Z66" s="21">
        <f t="shared" si="45"/>
        <v>0</v>
      </c>
      <c r="AA66" s="21">
        <v>0</v>
      </c>
      <c r="AB66" s="21">
        <f t="shared" si="46"/>
        <v>0</v>
      </c>
      <c r="AC66" s="21"/>
      <c r="AD66" s="21">
        <f t="shared" si="47"/>
        <v>0</v>
      </c>
      <c r="AE66" s="21"/>
      <c r="AF66" s="21">
        <f t="shared" si="48"/>
        <v>0</v>
      </c>
      <c r="AG66" s="64">
        <f t="shared" si="49"/>
        <v>0</v>
      </c>
      <c r="AH66" s="64">
        <f t="shared" si="50"/>
        <v>9150000</v>
      </c>
      <c r="AI66" s="64">
        <f t="shared" si="51"/>
        <v>0</v>
      </c>
      <c r="AJ66" s="64">
        <f t="shared" si="52"/>
        <v>11183333.333333334</v>
      </c>
      <c r="AK66" s="64">
        <f t="shared" si="53"/>
        <v>0</v>
      </c>
      <c r="AL66" s="64">
        <f t="shared" si="38"/>
        <v>113278242.66373128</v>
      </c>
    </row>
    <row r="67" spans="1:41" s="67" customFormat="1" ht="24.75" customHeight="1" x14ac:dyDescent="0.2">
      <c r="A67" s="67">
        <v>1311</v>
      </c>
      <c r="B67" s="67">
        <f>VLOOKUP($A67,'اطلاعات پرسنل'!$A$1:$AL$102,28,0)</f>
        <v>0</v>
      </c>
      <c r="C67" s="6">
        <v>12</v>
      </c>
      <c r="D67" s="5" t="str">
        <f>VLOOKUP($A67,'اطلاعات پرسنل'!$A$1:$AL$102,3,0)</f>
        <v>اکبر</v>
      </c>
      <c r="E67" s="5" t="str">
        <f>VLOOKUP($A67,'اطلاعات پرسنل'!$A$1:$AL$111,4,0)</f>
        <v>کلهر</v>
      </c>
      <c r="F67" s="25">
        <f>VLOOKUP($A67,'اطلاعات پرسنل'!$A$1:$AL$511,34,0)</f>
        <v>7</v>
      </c>
      <c r="G67" s="19">
        <v>0</v>
      </c>
      <c r="H67" s="139">
        <f t="shared" si="28"/>
        <v>30.5</v>
      </c>
      <c r="I67" s="64">
        <f>VLOOKUP($A67,'اطلاعات پرسنل'!$A$1:$BW$111,21,0)</f>
        <v>0</v>
      </c>
      <c r="J67" s="64">
        <f>VLOOKUP($A67,'اطلاعات پرسنل'!$A$1:$BW$111,41,0)</f>
        <v>1952939.49</v>
      </c>
      <c r="K67" s="64">
        <v>0</v>
      </c>
      <c r="L67" s="64">
        <v>0</v>
      </c>
      <c r="M67" s="19">
        <v>0</v>
      </c>
      <c r="N67" s="64">
        <f t="shared" si="39"/>
        <v>0</v>
      </c>
      <c r="O67" s="19"/>
      <c r="P67" s="64">
        <f t="shared" si="40"/>
        <v>0</v>
      </c>
      <c r="Q67" s="64"/>
      <c r="R67" s="64"/>
      <c r="S67" s="64">
        <f t="shared" si="41"/>
        <v>0</v>
      </c>
      <c r="T67" s="64">
        <f t="shared" si="42"/>
        <v>0</v>
      </c>
      <c r="U67" s="64">
        <v>0</v>
      </c>
      <c r="V67" s="18">
        <f t="shared" si="43"/>
        <v>0</v>
      </c>
      <c r="W67" s="64">
        <v>30</v>
      </c>
      <c r="X67" s="18">
        <f t="shared" si="44"/>
        <v>11185017.129931897</v>
      </c>
      <c r="Y67" s="21">
        <v>0</v>
      </c>
      <c r="Z67" s="21">
        <f t="shared" si="45"/>
        <v>0</v>
      </c>
      <c r="AA67" s="21">
        <v>0</v>
      </c>
      <c r="AB67" s="21">
        <f t="shared" si="46"/>
        <v>0</v>
      </c>
      <c r="AC67" s="21"/>
      <c r="AD67" s="21">
        <f t="shared" si="47"/>
        <v>0</v>
      </c>
      <c r="AE67" s="21"/>
      <c r="AF67" s="21">
        <f t="shared" si="48"/>
        <v>0</v>
      </c>
      <c r="AG67" s="64">
        <f t="shared" si="49"/>
        <v>0</v>
      </c>
      <c r="AH67" s="64">
        <f t="shared" si="50"/>
        <v>9150000</v>
      </c>
      <c r="AI67" s="64">
        <f t="shared" si="51"/>
        <v>0</v>
      </c>
      <c r="AJ67" s="64">
        <f t="shared" si="52"/>
        <v>11183333.333333334</v>
      </c>
      <c r="AK67" s="64">
        <f t="shared" si="53"/>
        <v>0</v>
      </c>
      <c r="AL67" s="64">
        <f t="shared" si="38"/>
        <v>91083004.908265218</v>
      </c>
    </row>
    <row r="68" spans="1:41" s="67" customFormat="1" ht="24.75" customHeight="1" thickBot="1" x14ac:dyDescent="0.25">
      <c r="A68" s="67">
        <v>1312</v>
      </c>
      <c r="B68" s="67">
        <f>VLOOKUP($A68,'اطلاعات پرسنل'!$A$1:$AL$102,28,0)</f>
        <v>2</v>
      </c>
      <c r="C68" s="4">
        <v>13</v>
      </c>
      <c r="D68" s="5" t="str">
        <f>VLOOKUP($A68,'اطلاعات پرسنل'!$A$1:$AL$102,3,0)</f>
        <v>حسن</v>
      </c>
      <c r="E68" s="5" t="str">
        <f>VLOOKUP($A68,'اطلاعات پرسنل'!$A$1:$AL$111,4,0)</f>
        <v>محمدخانی</v>
      </c>
      <c r="F68" s="25">
        <f>VLOOKUP($A68,'اطلاعات پرسنل'!$A$1:$AL$511,34,0)</f>
        <v>2</v>
      </c>
      <c r="G68" s="19">
        <v>0</v>
      </c>
      <c r="H68" s="139">
        <f t="shared" si="28"/>
        <v>30.5</v>
      </c>
      <c r="I68" s="64">
        <f>VLOOKUP($A68,'اطلاعات پرسنل'!$A$1:$BW$111,21,0)</f>
        <v>0</v>
      </c>
      <c r="J68" s="64">
        <f>VLOOKUP($A68,'اطلاعات پرسنل'!$A$1:$BW$111,41,0)</f>
        <v>2134240.5099999998</v>
      </c>
      <c r="K68" s="64">
        <v>0</v>
      </c>
      <c r="L68" s="64">
        <v>0</v>
      </c>
      <c r="M68" s="19">
        <v>0</v>
      </c>
      <c r="N68" s="64">
        <f t="shared" si="39"/>
        <v>0</v>
      </c>
      <c r="O68" s="19"/>
      <c r="P68" s="64">
        <f t="shared" si="40"/>
        <v>0</v>
      </c>
      <c r="Q68" s="64"/>
      <c r="R68" s="64"/>
      <c r="S68" s="64">
        <f t="shared" si="41"/>
        <v>0</v>
      </c>
      <c r="T68" s="64">
        <f t="shared" si="42"/>
        <v>10793510.799999999</v>
      </c>
      <c r="U68" s="64">
        <v>0</v>
      </c>
      <c r="V68" s="18">
        <f t="shared" si="43"/>
        <v>0</v>
      </c>
      <c r="W68" s="64">
        <v>30</v>
      </c>
      <c r="X68" s="18">
        <f t="shared" si="44"/>
        <v>12223377.521924444</v>
      </c>
      <c r="Y68" s="21">
        <v>0</v>
      </c>
      <c r="Z68" s="21">
        <f t="shared" si="45"/>
        <v>0</v>
      </c>
      <c r="AA68" s="21">
        <v>0</v>
      </c>
      <c r="AB68" s="21">
        <f t="shared" si="46"/>
        <v>0</v>
      </c>
      <c r="AC68" s="21"/>
      <c r="AD68" s="21">
        <f t="shared" si="47"/>
        <v>0</v>
      </c>
      <c r="AE68" s="21"/>
      <c r="AF68" s="21">
        <f t="shared" si="48"/>
        <v>0</v>
      </c>
      <c r="AG68" s="64">
        <f t="shared" si="49"/>
        <v>0</v>
      </c>
      <c r="AH68" s="64">
        <f t="shared" si="50"/>
        <v>9150000</v>
      </c>
      <c r="AI68" s="64">
        <f t="shared" si="51"/>
        <v>0</v>
      </c>
      <c r="AJ68" s="64">
        <f t="shared" si="52"/>
        <v>11183333.333333334</v>
      </c>
      <c r="AK68" s="64">
        <f t="shared" si="53"/>
        <v>0</v>
      </c>
      <c r="AL68" s="64">
        <f t="shared" si="38"/>
        <v>108444557.21025775</v>
      </c>
    </row>
    <row r="69" spans="1:41" s="67" customFormat="1" ht="24.75" customHeight="1" thickBot="1" x14ac:dyDescent="0.25">
      <c r="C69" s="207" t="s">
        <v>24</v>
      </c>
      <c r="D69" s="208"/>
      <c r="E69" s="208"/>
      <c r="F69" s="213"/>
      <c r="G69" s="31">
        <f>SUM(G56:G68)</f>
        <v>0</v>
      </c>
      <c r="H69" s="31">
        <f>SUM(H56:H68)</f>
        <v>396.5</v>
      </c>
      <c r="I69" s="31">
        <f>SUM(I56:I68)</f>
        <v>0</v>
      </c>
      <c r="J69" s="31">
        <f t="shared" ref="J69:AL69" si="54">SUM(J56:J68)</f>
        <v>26263981.279999994</v>
      </c>
      <c r="K69" s="31">
        <f t="shared" si="54"/>
        <v>0</v>
      </c>
      <c r="L69" s="31">
        <f t="shared" si="54"/>
        <v>0</v>
      </c>
      <c r="M69" s="31">
        <f t="shared" si="54"/>
        <v>0</v>
      </c>
      <c r="N69" s="31">
        <f t="shared" si="54"/>
        <v>0</v>
      </c>
      <c r="O69" s="31">
        <f t="shared" si="54"/>
        <v>0</v>
      </c>
      <c r="P69" s="31">
        <f t="shared" si="54"/>
        <v>0</v>
      </c>
      <c r="Q69" s="31">
        <f t="shared" si="54"/>
        <v>0</v>
      </c>
      <c r="R69" s="31">
        <f t="shared" si="54"/>
        <v>0</v>
      </c>
      <c r="S69" s="31">
        <f t="shared" si="54"/>
        <v>0</v>
      </c>
      <c r="T69" s="31">
        <f t="shared" si="54"/>
        <v>97141597.199999988</v>
      </c>
      <c r="U69" s="31">
        <f t="shared" si="54"/>
        <v>0</v>
      </c>
      <c r="V69" s="31">
        <f t="shared" si="54"/>
        <v>0</v>
      </c>
      <c r="W69" s="31">
        <f t="shared" si="54"/>
        <v>480</v>
      </c>
      <c r="X69" s="31">
        <f t="shared" si="54"/>
        <v>184284364.54674709</v>
      </c>
      <c r="Y69" s="31">
        <f t="shared" si="54"/>
        <v>0</v>
      </c>
      <c r="Z69" s="31">
        <f t="shared" si="54"/>
        <v>0</v>
      </c>
      <c r="AA69" s="31">
        <f t="shared" si="54"/>
        <v>0</v>
      </c>
      <c r="AB69" s="31">
        <f t="shared" si="54"/>
        <v>0</v>
      </c>
      <c r="AC69" s="31">
        <f t="shared" si="54"/>
        <v>0</v>
      </c>
      <c r="AD69" s="31">
        <f t="shared" si="54"/>
        <v>0</v>
      </c>
      <c r="AE69" s="31">
        <f t="shared" si="54"/>
        <v>0</v>
      </c>
      <c r="AF69" s="31">
        <f t="shared" si="54"/>
        <v>0</v>
      </c>
      <c r="AG69" s="31">
        <f t="shared" si="54"/>
        <v>0</v>
      </c>
      <c r="AH69" s="31">
        <f t="shared" si="54"/>
        <v>118950000</v>
      </c>
      <c r="AI69" s="31">
        <f t="shared" si="54"/>
        <v>0</v>
      </c>
      <c r="AJ69" s="31">
        <f t="shared" si="54"/>
        <v>145383333.33333331</v>
      </c>
      <c r="AK69" s="31">
        <f t="shared" si="54"/>
        <v>0</v>
      </c>
      <c r="AL69" s="31">
        <f t="shared" si="54"/>
        <v>1346810724.1200802</v>
      </c>
    </row>
    <row r="70" spans="1:41" s="67" customFormat="1" ht="6.75" customHeight="1" thickBot="1" x14ac:dyDescent="0.25">
      <c r="C70" s="8"/>
      <c r="D70" s="8"/>
      <c r="E70" s="8"/>
      <c r="F70" s="8"/>
      <c r="G70" s="16"/>
      <c r="H70" s="16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</row>
    <row r="71" spans="1:41" s="67" customFormat="1" ht="24.75" customHeight="1" thickBot="1" x14ac:dyDescent="0.25">
      <c r="C71" s="207" t="s">
        <v>530</v>
      </c>
      <c r="D71" s="208"/>
      <c r="E71" s="208"/>
      <c r="F71" s="84">
        <v>13</v>
      </c>
      <c r="G71" s="82"/>
      <c r="H71" s="85">
        <f t="shared" ref="H71:I71" si="55">H69/$F$71</f>
        <v>30.5</v>
      </c>
      <c r="I71" s="15">
        <f t="shared" si="55"/>
        <v>0</v>
      </c>
      <c r="J71" s="15">
        <f>J69/$F$71</f>
        <v>2020306.2523076918</v>
      </c>
      <c r="K71" s="15">
        <f t="shared" ref="K71:AK71" si="56">K69/$F$71</f>
        <v>0</v>
      </c>
      <c r="L71" s="15">
        <f t="shared" si="56"/>
        <v>0</v>
      </c>
      <c r="M71" s="15">
        <f t="shared" si="56"/>
        <v>0</v>
      </c>
      <c r="N71" s="15">
        <f t="shared" si="56"/>
        <v>0</v>
      </c>
      <c r="O71" s="15">
        <f t="shared" si="56"/>
        <v>0</v>
      </c>
      <c r="P71" s="15">
        <f t="shared" si="56"/>
        <v>0</v>
      </c>
      <c r="Q71" s="15">
        <f t="shared" si="56"/>
        <v>0</v>
      </c>
      <c r="R71" s="15">
        <f t="shared" si="56"/>
        <v>0</v>
      </c>
      <c r="S71" s="15">
        <f t="shared" si="56"/>
        <v>0</v>
      </c>
      <c r="T71" s="15">
        <f>T69/$F$71</f>
        <v>7472430.5538461525</v>
      </c>
      <c r="U71" s="15">
        <f t="shared" si="56"/>
        <v>0</v>
      </c>
      <c r="V71" s="15">
        <f t="shared" si="56"/>
        <v>0</v>
      </c>
      <c r="W71" s="15">
        <f>W69/$F$71</f>
        <v>36.92307692307692</v>
      </c>
      <c r="X71" s="15">
        <f>X69/$F$71</f>
        <v>14175720.349749776</v>
      </c>
      <c r="Y71" s="15">
        <f t="shared" si="56"/>
        <v>0</v>
      </c>
      <c r="Z71" s="15">
        <f t="shared" si="56"/>
        <v>0</v>
      </c>
      <c r="AA71" s="15">
        <f t="shared" ref="AA71:AB71" si="57">AA69/$F$71</f>
        <v>0</v>
      </c>
      <c r="AB71" s="15">
        <f t="shared" si="57"/>
        <v>0</v>
      </c>
      <c r="AC71" s="15">
        <f t="shared" si="56"/>
        <v>0</v>
      </c>
      <c r="AD71" s="15">
        <f t="shared" si="56"/>
        <v>0</v>
      </c>
      <c r="AE71" s="15">
        <f t="shared" ref="AE71:AF71" si="58">AE69/$F$71</f>
        <v>0</v>
      </c>
      <c r="AF71" s="15">
        <f t="shared" si="58"/>
        <v>0</v>
      </c>
      <c r="AG71" s="15">
        <f t="shared" si="56"/>
        <v>0</v>
      </c>
      <c r="AH71" s="15">
        <f>AH69/$F$71</f>
        <v>9150000</v>
      </c>
      <c r="AI71" s="15">
        <f t="shared" si="56"/>
        <v>0</v>
      </c>
      <c r="AJ71" s="15">
        <f>AJ69/$F$71</f>
        <v>11183333.333333332</v>
      </c>
      <c r="AK71" s="15">
        <f t="shared" si="56"/>
        <v>0</v>
      </c>
      <c r="AL71" s="15">
        <f>AL69/$F$71</f>
        <v>103600824.93231386</v>
      </c>
      <c r="AN71" s="72"/>
      <c r="AO71" s="72">
        <v>1402</v>
      </c>
    </row>
    <row r="72" spans="1:41" s="67" customFormat="1" ht="24.75" customHeight="1" x14ac:dyDescent="0.2">
      <c r="D72" s="7"/>
      <c r="E72" s="7"/>
      <c r="G72" s="12"/>
      <c r="H72" s="12"/>
      <c r="I72" s="7"/>
      <c r="J72" s="7"/>
      <c r="AM72" s="66" t="s">
        <v>25</v>
      </c>
      <c r="AN72" s="33"/>
      <c r="AO72" s="33"/>
    </row>
    <row r="73" spans="1:41" s="67" customFormat="1" ht="24.75" customHeight="1" x14ac:dyDescent="0.2">
      <c r="D73" s="86"/>
      <c r="E73" s="7"/>
      <c r="G73" s="12"/>
      <c r="H73" s="12"/>
      <c r="AM73" s="6" t="s">
        <v>26</v>
      </c>
      <c r="AN73" s="21"/>
      <c r="AO73" s="21">
        <v>0</v>
      </c>
    </row>
    <row r="74" spans="1:41" s="67" customFormat="1" ht="24.75" customHeight="1" x14ac:dyDescent="0.2">
      <c r="D74" s="86"/>
      <c r="E74" s="7"/>
      <c r="G74" s="12"/>
      <c r="H74" s="12"/>
      <c r="AM74" s="6" t="s">
        <v>27</v>
      </c>
      <c r="AN74" s="21"/>
      <c r="AO74" s="21">
        <f>J71*5</f>
        <v>10101531.261538459</v>
      </c>
    </row>
    <row r="75" spans="1:41" s="67" customFormat="1" ht="24.75" customHeight="1" x14ac:dyDescent="0.2">
      <c r="D75" s="7"/>
      <c r="E75" s="7"/>
      <c r="G75" s="12"/>
      <c r="H75" s="12"/>
      <c r="AM75" s="23" t="s">
        <v>6</v>
      </c>
      <c r="AN75" s="22"/>
      <c r="AO75" s="22">
        <f>AO74/2</f>
        <v>5050765.6307692295</v>
      </c>
    </row>
    <row r="76" spans="1:41" s="67" customFormat="1" ht="24.75" customHeight="1" x14ac:dyDescent="0.2">
      <c r="A76" s="2"/>
      <c r="B76" s="2"/>
      <c r="D76" s="7"/>
      <c r="E76" s="7"/>
      <c r="G76" s="12"/>
      <c r="H76" s="12"/>
      <c r="AM76" s="23" t="s">
        <v>28</v>
      </c>
      <c r="AN76" s="34"/>
      <c r="AO76" s="34">
        <v>0</v>
      </c>
    </row>
    <row r="77" spans="1:41" s="67" customFormat="1" ht="24.75" customHeight="1" thickBot="1" x14ac:dyDescent="0.25">
      <c r="A77" s="2"/>
      <c r="B77" s="2"/>
      <c r="C77" s="9"/>
      <c r="D77" s="9"/>
      <c r="E77" s="9"/>
      <c r="F77" s="9"/>
      <c r="G77" s="11"/>
      <c r="H77" s="11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M77" s="23" t="s">
        <v>29</v>
      </c>
      <c r="AN77" s="22"/>
      <c r="AO77" s="22">
        <v>0</v>
      </c>
    </row>
    <row r="78" spans="1:41" s="67" customFormat="1" ht="24.75" customHeight="1" thickBot="1" x14ac:dyDescent="0.25">
      <c r="A78" s="2"/>
      <c r="B78" s="2"/>
      <c r="D78" s="7"/>
      <c r="E78" s="7"/>
      <c r="G78" s="12"/>
      <c r="H78" s="12"/>
      <c r="AM78" s="24" t="s">
        <v>30</v>
      </c>
      <c r="AN78" s="20"/>
      <c r="AO78" s="20">
        <f>SUM(AO72:AO77)+AL71</f>
        <v>118753121.82462154</v>
      </c>
    </row>
    <row r="79" spans="1:41" ht="18.75" thickBot="1" x14ac:dyDescent="0.25"/>
    <row r="80" spans="1:41" ht="18.75" thickBot="1" x14ac:dyDescent="0.25">
      <c r="A80" s="10"/>
      <c r="C80" s="214" t="s">
        <v>14</v>
      </c>
      <c r="D80" s="216" t="s">
        <v>15</v>
      </c>
      <c r="E80" s="218" t="s">
        <v>16</v>
      </c>
      <c r="F80" s="209" t="s">
        <v>51</v>
      </c>
      <c r="G80" s="211" t="s">
        <v>335</v>
      </c>
      <c r="H80" s="211" t="s">
        <v>336</v>
      </c>
      <c r="I80" s="197" t="s">
        <v>17</v>
      </c>
      <c r="J80" s="198"/>
      <c r="K80" s="202" t="s">
        <v>9</v>
      </c>
      <c r="L80" s="202" t="s">
        <v>23</v>
      </c>
      <c r="M80" s="204" t="s">
        <v>18</v>
      </c>
      <c r="N80" s="205"/>
      <c r="O80" s="205"/>
      <c r="P80" s="206"/>
      <c r="Q80" s="202" t="s">
        <v>70</v>
      </c>
      <c r="R80" s="202" t="s">
        <v>69</v>
      </c>
      <c r="S80" s="197" t="s">
        <v>19</v>
      </c>
      <c r="T80" s="198"/>
      <c r="U80" s="199" t="s">
        <v>20</v>
      </c>
      <c r="V80" s="200"/>
      <c r="W80" s="200"/>
      <c r="X80" s="201"/>
      <c r="Y80" s="199" t="s">
        <v>180</v>
      </c>
      <c r="Z80" s="200"/>
      <c r="AA80" s="200" t="s">
        <v>180</v>
      </c>
      <c r="AB80" s="201"/>
      <c r="AC80" s="199" t="s">
        <v>332</v>
      </c>
      <c r="AD80" s="200"/>
      <c r="AE80" s="200" t="s">
        <v>332</v>
      </c>
      <c r="AF80" s="201"/>
      <c r="AG80" s="197" t="s">
        <v>21</v>
      </c>
      <c r="AH80" s="198"/>
      <c r="AI80" s="197" t="s">
        <v>22</v>
      </c>
      <c r="AJ80" s="198"/>
      <c r="AK80" s="197" t="s">
        <v>24</v>
      </c>
      <c r="AL80" s="198" t="s">
        <v>24</v>
      </c>
    </row>
    <row r="81" spans="1:38" ht="18.75" thickBot="1" x14ac:dyDescent="0.25">
      <c r="B81" s="2" t="s">
        <v>35</v>
      </c>
      <c r="C81" s="215"/>
      <c r="D81" s="217"/>
      <c r="E81" s="219"/>
      <c r="F81" s="210"/>
      <c r="G81" s="212"/>
      <c r="H81" s="212"/>
      <c r="I81" s="137">
        <v>1401</v>
      </c>
      <c r="J81" s="137">
        <v>1402</v>
      </c>
      <c r="K81" s="203"/>
      <c r="L81" s="203"/>
      <c r="M81" s="83" t="s">
        <v>181</v>
      </c>
      <c r="N81" s="63" t="s">
        <v>337</v>
      </c>
      <c r="O81" s="83" t="s">
        <v>181</v>
      </c>
      <c r="P81" s="63" t="s">
        <v>338</v>
      </c>
      <c r="Q81" s="203"/>
      <c r="R81" s="203"/>
      <c r="S81" s="137">
        <v>1401</v>
      </c>
      <c r="T81" s="137">
        <v>1402</v>
      </c>
      <c r="U81" s="83" t="s">
        <v>181</v>
      </c>
      <c r="V81" s="63" t="s">
        <v>337</v>
      </c>
      <c r="W81" s="83" t="s">
        <v>181</v>
      </c>
      <c r="X81" s="63" t="s">
        <v>338</v>
      </c>
      <c r="Y81" s="83" t="s">
        <v>181</v>
      </c>
      <c r="Z81" s="63" t="s">
        <v>337</v>
      </c>
      <c r="AA81" s="83" t="s">
        <v>181</v>
      </c>
      <c r="AB81" s="63" t="s">
        <v>338</v>
      </c>
      <c r="AC81" s="83" t="s">
        <v>181</v>
      </c>
      <c r="AD81" s="63" t="s">
        <v>337</v>
      </c>
      <c r="AE81" s="83" t="s">
        <v>181</v>
      </c>
      <c r="AF81" s="63" t="s">
        <v>338</v>
      </c>
      <c r="AG81" s="137">
        <v>1401</v>
      </c>
      <c r="AH81" s="137">
        <v>1402</v>
      </c>
      <c r="AI81" s="137">
        <v>1401</v>
      </c>
      <c r="AJ81" s="137">
        <v>1402</v>
      </c>
      <c r="AK81" s="137">
        <v>1403</v>
      </c>
      <c r="AL81" s="137">
        <v>1404</v>
      </c>
    </row>
    <row r="82" spans="1:38" s="67" customFormat="1" ht="24.75" customHeight="1" x14ac:dyDescent="0.2">
      <c r="A82" s="67">
        <v>1404</v>
      </c>
      <c r="B82" s="67">
        <f>VLOOKUP($A82,'اطلاعات پرسنل'!$A$1:$AL$501,28,0)</f>
        <v>3</v>
      </c>
      <c r="C82" s="66">
        <v>1</v>
      </c>
      <c r="D82" s="68" t="str">
        <f>VLOOKUP($A82,'اطلاعات پرسنل'!$A$1:$AL$301,3,0)</f>
        <v xml:space="preserve">ولي اله </v>
      </c>
      <c r="E82" s="68" t="str">
        <f>VLOOKUP($A82,'اطلاعات پرسنل'!$A$1:$AL$111,4,0)</f>
        <v>افشاري</v>
      </c>
      <c r="F82" s="25">
        <f>VLOOKUP($A82,'اطلاعات پرسنل'!$A$1:$AL$511,34,0)</f>
        <v>13</v>
      </c>
      <c r="G82" s="19">
        <v>0</v>
      </c>
      <c r="H82" s="139">
        <f t="shared" ref="H82:H113" si="59">$H$5</f>
        <v>30.5</v>
      </c>
      <c r="I82" s="64">
        <f>VLOOKUP($A82,'اطلاعات پرسنل'!$A$1:$BW$111,21,0)</f>
        <v>0</v>
      </c>
      <c r="J82" s="64">
        <f>VLOOKUP($A82,'اطلاعات پرسنل'!$A$1:$BW$111,41,0)</f>
        <v>2263028.7480000001</v>
      </c>
      <c r="K82" s="64">
        <v>0</v>
      </c>
      <c r="L82" s="64">
        <v>0</v>
      </c>
      <c r="M82" s="19">
        <v>0</v>
      </c>
      <c r="N82" s="64">
        <f t="shared" ref="N82:N113" si="60">I82*22.5%*M82</f>
        <v>0</v>
      </c>
      <c r="O82" s="19"/>
      <c r="P82" s="64">
        <f>K82*22.5%*O82</f>
        <v>0</v>
      </c>
      <c r="Q82" s="64"/>
      <c r="R82" s="64"/>
      <c r="S82" s="64">
        <f t="shared" ref="S82:S113" si="61">B82*4179750/30*G82</f>
        <v>0</v>
      </c>
      <c r="T82" s="64">
        <f t="shared" ref="T82:T113" si="62">B82*5308284/30*H82</f>
        <v>16190266.200000001</v>
      </c>
      <c r="U82" s="64">
        <v>0</v>
      </c>
      <c r="V82" s="18">
        <f t="shared" ref="V82:V113" si="63">I82*1.4/7.3333333*U82</f>
        <v>0</v>
      </c>
      <c r="W82" s="64">
        <v>80</v>
      </c>
      <c r="X82" s="18">
        <f t="shared" ref="X82:X113" si="64">J82*1.4/7.3333333*W82</f>
        <v>34562621.035648279</v>
      </c>
      <c r="Y82" s="21">
        <v>0</v>
      </c>
      <c r="Z82" s="21">
        <f t="shared" ref="Z82:Z113" si="65">I82*1.4/7.3*Y82*1.4</f>
        <v>0</v>
      </c>
      <c r="AA82" s="21">
        <v>0</v>
      </c>
      <c r="AB82" s="21">
        <f t="shared" ref="AB82:AB113" si="66">J82*1.4/7.3333333*AA82*1.4</f>
        <v>0</v>
      </c>
      <c r="AC82" s="21"/>
      <c r="AD82" s="21">
        <f t="shared" ref="AD82:AD113" si="67">AC82*I82</f>
        <v>0</v>
      </c>
      <c r="AE82" s="21"/>
      <c r="AF82" s="21">
        <f t="shared" ref="AF82:AF113" si="68">AE82*J82</f>
        <v>0</v>
      </c>
      <c r="AG82" s="64">
        <f t="shared" ref="AG82:AG113" si="69">6500000/30*G82</f>
        <v>0</v>
      </c>
      <c r="AH82" s="64">
        <f t="shared" ref="AH82:AH113" si="70">9000000/30*H82</f>
        <v>9150000</v>
      </c>
      <c r="AI82" s="64">
        <f t="shared" ref="AI82:AI113" si="71">8500000/30*G82</f>
        <v>0</v>
      </c>
      <c r="AJ82" s="64">
        <f t="shared" ref="AJ82:AJ113" si="72">11000000/30*H82</f>
        <v>11183333.333333334</v>
      </c>
      <c r="AK82" s="64">
        <f t="shared" ref="AK82:AK113" si="73">K82+L82+N82+V82+Q82+R82+S82+Z82+AG82+AI82+I82*G82+AD82</f>
        <v>0</v>
      </c>
      <c r="AL82" s="71">
        <f t="shared" ref="AL82:AL113" si="74">J82*H82+K82+L82+P82+T82+X82+AB82+AF82+AH82+AJ82</f>
        <v>140108597.38298163</v>
      </c>
    </row>
    <row r="83" spans="1:38" s="67" customFormat="1" ht="24.75" customHeight="1" x14ac:dyDescent="0.2">
      <c r="A83" s="67">
        <v>1426</v>
      </c>
      <c r="B83" s="67">
        <f>VLOOKUP($A83,'اطلاعات پرسنل'!$A$1:$AL$501,28,0)</f>
        <v>3</v>
      </c>
      <c r="C83" s="6">
        <v>2</v>
      </c>
      <c r="D83" s="5" t="str">
        <f>VLOOKUP($A83,'اطلاعات پرسنل'!$A$1:$AL$301,3,0)</f>
        <v xml:space="preserve">غفار </v>
      </c>
      <c r="E83" s="5" t="str">
        <f>VLOOKUP($A83,'اطلاعات پرسنل'!$A$1:$AL$111,4,0)</f>
        <v>زارعي</v>
      </c>
      <c r="F83" s="25">
        <f>VLOOKUP($A83,'اطلاعات پرسنل'!$A$1:$AL$511,34,0)</f>
        <v>7</v>
      </c>
      <c r="G83" s="19">
        <v>0</v>
      </c>
      <c r="H83" s="139">
        <f t="shared" si="59"/>
        <v>30.5</v>
      </c>
      <c r="I83" s="64">
        <f>VLOOKUP($A83,'اطلاعات پرسنل'!$A$1:$BW$111,21,0)</f>
        <v>0</v>
      </c>
      <c r="J83" s="64">
        <f>VLOOKUP($A83,'اطلاعات پرسنل'!$A$1:$BW$111,41,0)</f>
        <v>2322513.0973333335</v>
      </c>
      <c r="K83" s="64">
        <v>0</v>
      </c>
      <c r="L83" s="64">
        <v>0</v>
      </c>
      <c r="M83" s="19">
        <v>0</v>
      </c>
      <c r="N83" s="64">
        <f t="shared" si="60"/>
        <v>0</v>
      </c>
      <c r="O83" s="19">
        <f>H83</f>
        <v>30.5</v>
      </c>
      <c r="P83" s="64">
        <f>J83*15%*O83</f>
        <v>10625497.420299999</v>
      </c>
      <c r="Q83" s="64"/>
      <c r="R83" s="64"/>
      <c r="S83" s="64">
        <f t="shared" si="61"/>
        <v>0</v>
      </c>
      <c r="T83" s="64">
        <f t="shared" si="62"/>
        <v>16190266.200000001</v>
      </c>
      <c r="U83" s="64">
        <v>0</v>
      </c>
      <c r="V83" s="18">
        <f t="shared" si="63"/>
        <v>0</v>
      </c>
      <c r="W83" s="64">
        <v>40</v>
      </c>
      <c r="X83" s="18">
        <f t="shared" si="64"/>
        <v>17735554.642070703</v>
      </c>
      <c r="Y83" s="21">
        <v>0</v>
      </c>
      <c r="Z83" s="21">
        <f t="shared" si="65"/>
        <v>0</v>
      </c>
      <c r="AA83" s="21">
        <v>0</v>
      </c>
      <c r="AB83" s="21">
        <f t="shared" si="66"/>
        <v>0</v>
      </c>
      <c r="AC83" s="21"/>
      <c r="AD83" s="21">
        <f t="shared" si="67"/>
        <v>0</v>
      </c>
      <c r="AE83" s="21"/>
      <c r="AF83" s="21">
        <f t="shared" si="68"/>
        <v>0</v>
      </c>
      <c r="AG83" s="64">
        <f t="shared" si="69"/>
        <v>0</v>
      </c>
      <c r="AH83" s="64">
        <f t="shared" si="70"/>
        <v>9150000</v>
      </c>
      <c r="AI83" s="64">
        <f t="shared" si="71"/>
        <v>0</v>
      </c>
      <c r="AJ83" s="64">
        <f t="shared" si="72"/>
        <v>11183333.333333334</v>
      </c>
      <c r="AK83" s="64">
        <f t="shared" si="73"/>
        <v>0</v>
      </c>
      <c r="AL83" s="64">
        <f t="shared" si="74"/>
        <v>135721301.06437072</v>
      </c>
    </row>
    <row r="84" spans="1:38" s="67" customFormat="1" ht="24.75" customHeight="1" x14ac:dyDescent="0.2">
      <c r="A84" s="67">
        <v>1451</v>
      </c>
      <c r="B84" s="67">
        <f>VLOOKUP($A84,'اطلاعات پرسنل'!$A$1:$AL$501,28,0)</f>
        <v>0</v>
      </c>
      <c r="C84" s="4">
        <v>3</v>
      </c>
      <c r="D84" s="5" t="str">
        <f>VLOOKUP($A84,'اطلاعات پرسنل'!$A$1:$AL$301,3,0)</f>
        <v>هادی</v>
      </c>
      <c r="E84" s="5" t="str">
        <f>VLOOKUP($A84,'اطلاعات پرسنل'!$A$1:$AL$111,4,0)</f>
        <v>نصیری</v>
      </c>
      <c r="F84" s="25">
        <f>VLOOKUP($A84,'اطلاعات پرسنل'!$A$1:$AL$511,34,0)</f>
        <v>4</v>
      </c>
      <c r="G84" s="19">
        <v>0</v>
      </c>
      <c r="H84" s="139">
        <f t="shared" si="59"/>
        <v>30.5</v>
      </c>
      <c r="I84" s="64">
        <f>VLOOKUP($A84,'اطلاعات پرسنل'!$A$1:$BW$111,21,0)</f>
        <v>0</v>
      </c>
      <c r="J84" s="64">
        <f>VLOOKUP($A84,'اطلاعات پرسنل'!$A$1:$BW$111,41,0)</f>
        <v>2131774.2620000001</v>
      </c>
      <c r="K84" s="64">
        <v>0</v>
      </c>
      <c r="L84" s="64">
        <v>0</v>
      </c>
      <c r="M84" s="19">
        <v>0</v>
      </c>
      <c r="N84" s="64">
        <f t="shared" si="60"/>
        <v>0</v>
      </c>
      <c r="O84" s="19"/>
      <c r="P84" s="64">
        <f>K84*22.5%*O84</f>
        <v>0</v>
      </c>
      <c r="Q84" s="64"/>
      <c r="R84" s="64"/>
      <c r="S84" s="64">
        <f t="shared" si="61"/>
        <v>0</v>
      </c>
      <c r="T84" s="64">
        <f t="shared" si="62"/>
        <v>0</v>
      </c>
      <c r="U84" s="64">
        <v>0</v>
      </c>
      <c r="V84" s="18">
        <f t="shared" si="63"/>
        <v>0</v>
      </c>
      <c r="W84" s="64">
        <v>60</v>
      </c>
      <c r="X84" s="18">
        <f t="shared" si="64"/>
        <v>24418505.293902297</v>
      </c>
      <c r="Y84" s="21">
        <v>0</v>
      </c>
      <c r="Z84" s="21">
        <f t="shared" si="65"/>
        <v>0</v>
      </c>
      <c r="AA84" s="21">
        <v>0</v>
      </c>
      <c r="AB84" s="21">
        <f t="shared" si="66"/>
        <v>0</v>
      </c>
      <c r="AC84" s="21"/>
      <c r="AD84" s="21">
        <f t="shared" si="67"/>
        <v>0</v>
      </c>
      <c r="AE84" s="21"/>
      <c r="AF84" s="21">
        <f t="shared" si="68"/>
        <v>0</v>
      </c>
      <c r="AG84" s="64">
        <f t="shared" si="69"/>
        <v>0</v>
      </c>
      <c r="AH84" s="64">
        <f t="shared" si="70"/>
        <v>9150000</v>
      </c>
      <c r="AI84" s="64">
        <f t="shared" si="71"/>
        <v>0</v>
      </c>
      <c r="AJ84" s="64">
        <f t="shared" si="72"/>
        <v>11183333.333333334</v>
      </c>
      <c r="AK84" s="64">
        <f t="shared" si="73"/>
        <v>0</v>
      </c>
      <c r="AL84" s="64">
        <f t="shared" si="74"/>
        <v>109770953.61823563</v>
      </c>
    </row>
    <row r="85" spans="1:38" s="67" customFormat="1" ht="24.75" customHeight="1" x14ac:dyDescent="0.2">
      <c r="A85" s="67">
        <v>1453</v>
      </c>
      <c r="B85" s="67">
        <f>VLOOKUP($A85,'اطلاعات پرسنل'!$A$1:$AL$501,28,0)</f>
        <v>1</v>
      </c>
      <c r="C85" s="6">
        <v>4</v>
      </c>
      <c r="D85" s="5" t="str">
        <f>VLOOKUP($A85,'اطلاعات پرسنل'!$A$1:$AL$301,3,0)</f>
        <v xml:space="preserve">امير </v>
      </c>
      <c r="E85" s="5" t="str">
        <f>VLOOKUP($A85,'اطلاعات پرسنل'!$A$1:$AL$111,4,0)</f>
        <v>نوروزي</v>
      </c>
      <c r="F85" s="25">
        <f>VLOOKUP($A85,'اطلاعات پرسنل'!$A$1:$AL$511,34,0)</f>
        <v>6</v>
      </c>
      <c r="G85" s="19">
        <v>0</v>
      </c>
      <c r="H85" s="139">
        <f t="shared" si="59"/>
        <v>30.5</v>
      </c>
      <c r="I85" s="64">
        <f>VLOOKUP($A85,'اطلاعات پرسنل'!$A$1:$BW$111,21,0)</f>
        <v>0</v>
      </c>
      <c r="J85" s="64">
        <f>VLOOKUP($A85,'اطلاعات پرسنل'!$A$1:$BW$111,41,0)</f>
        <v>2299767.611</v>
      </c>
      <c r="K85" s="64">
        <v>0</v>
      </c>
      <c r="L85" s="64">
        <v>0</v>
      </c>
      <c r="M85" s="19">
        <v>0</v>
      </c>
      <c r="N85" s="64">
        <f t="shared" si="60"/>
        <v>0</v>
      </c>
      <c r="O85" s="19"/>
      <c r="P85" s="64">
        <f>K85*22.5%*O85</f>
        <v>0</v>
      </c>
      <c r="Q85" s="64"/>
      <c r="R85" s="64"/>
      <c r="S85" s="64">
        <f t="shared" si="61"/>
        <v>0</v>
      </c>
      <c r="T85" s="64">
        <f t="shared" si="62"/>
        <v>5396755.3999999994</v>
      </c>
      <c r="U85" s="64">
        <v>0</v>
      </c>
      <c r="V85" s="18">
        <f t="shared" si="63"/>
        <v>0</v>
      </c>
      <c r="W85" s="64">
        <v>40</v>
      </c>
      <c r="X85" s="18">
        <f t="shared" si="64"/>
        <v>17561861.83655392</v>
      </c>
      <c r="Y85" s="21">
        <v>0</v>
      </c>
      <c r="Z85" s="21">
        <f t="shared" si="65"/>
        <v>0</v>
      </c>
      <c r="AA85" s="21">
        <v>0</v>
      </c>
      <c r="AB85" s="21">
        <f t="shared" si="66"/>
        <v>0</v>
      </c>
      <c r="AC85" s="21"/>
      <c r="AD85" s="21">
        <f t="shared" si="67"/>
        <v>0</v>
      </c>
      <c r="AE85" s="21"/>
      <c r="AF85" s="21">
        <f t="shared" si="68"/>
        <v>0</v>
      </c>
      <c r="AG85" s="64">
        <f t="shared" si="69"/>
        <v>0</v>
      </c>
      <c r="AH85" s="64">
        <f t="shared" si="70"/>
        <v>9150000</v>
      </c>
      <c r="AI85" s="64">
        <f t="shared" si="71"/>
        <v>0</v>
      </c>
      <c r="AJ85" s="64">
        <f t="shared" si="72"/>
        <v>11183333.333333334</v>
      </c>
      <c r="AK85" s="64">
        <f t="shared" si="73"/>
        <v>0</v>
      </c>
      <c r="AL85" s="64">
        <f t="shared" si="74"/>
        <v>113434862.70538725</v>
      </c>
    </row>
    <row r="86" spans="1:38" s="67" customFormat="1" ht="24.75" customHeight="1" x14ac:dyDescent="0.2">
      <c r="A86" s="67">
        <v>1402</v>
      </c>
      <c r="B86" s="67">
        <f>VLOOKUP($A86,'اطلاعات پرسنل'!$A$1:$AL$501,28,0)</f>
        <v>0</v>
      </c>
      <c r="C86" s="4">
        <v>5</v>
      </c>
      <c r="D86" s="5" t="str">
        <f>VLOOKUP($A86,'اطلاعات پرسنل'!$A$1:$AL$301,3,0)</f>
        <v xml:space="preserve">امین </v>
      </c>
      <c r="E86" s="5" t="str">
        <f>VLOOKUP($A86,'اطلاعات پرسنل'!$A$1:$AL$111,4,0)</f>
        <v>اسماعیلی</v>
      </c>
      <c r="F86" s="25">
        <f>VLOOKUP($A86,'اطلاعات پرسنل'!$A$1:$AL$511,34,0)</f>
        <v>13</v>
      </c>
      <c r="G86" s="19">
        <v>0</v>
      </c>
      <c r="H86" s="139">
        <f t="shared" si="59"/>
        <v>30.5</v>
      </c>
      <c r="I86" s="64">
        <f>VLOOKUP($A86,'اطلاعات پرسنل'!$A$1:$BW$111,21,0)</f>
        <v>0</v>
      </c>
      <c r="J86" s="64">
        <f>VLOOKUP($A86,'اطلاعات پرسنل'!$A$1:$BW$111,41,0)</f>
        <v>2263028.7480000001</v>
      </c>
      <c r="K86" s="64">
        <v>0</v>
      </c>
      <c r="L86" s="64">
        <v>0</v>
      </c>
      <c r="M86" s="19">
        <v>0</v>
      </c>
      <c r="N86" s="64">
        <f t="shared" si="60"/>
        <v>0</v>
      </c>
      <c r="O86" s="19"/>
      <c r="P86" s="64">
        <f>K86*22.5%*O86</f>
        <v>0</v>
      </c>
      <c r="Q86" s="64"/>
      <c r="R86" s="64"/>
      <c r="S86" s="64">
        <f t="shared" si="61"/>
        <v>0</v>
      </c>
      <c r="T86" s="64">
        <f t="shared" si="62"/>
        <v>0</v>
      </c>
      <c r="U86" s="64">
        <v>0</v>
      </c>
      <c r="V86" s="18">
        <f t="shared" si="63"/>
        <v>0</v>
      </c>
      <c r="W86" s="64">
        <v>80</v>
      </c>
      <c r="X86" s="18">
        <f t="shared" si="64"/>
        <v>34562621.035648279</v>
      </c>
      <c r="Y86" s="21">
        <v>0</v>
      </c>
      <c r="Z86" s="21">
        <f t="shared" si="65"/>
        <v>0</v>
      </c>
      <c r="AA86" s="21">
        <v>0</v>
      </c>
      <c r="AB86" s="21">
        <f t="shared" si="66"/>
        <v>0</v>
      </c>
      <c r="AC86" s="21"/>
      <c r="AD86" s="21">
        <f t="shared" si="67"/>
        <v>0</v>
      </c>
      <c r="AE86" s="21"/>
      <c r="AF86" s="21">
        <f t="shared" si="68"/>
        <v>0</v>
      </c>
      <c r="AG86" s="64">
        <f t="shared" si="69"/>
        <v>0</v>
      </c>
      <c r="AH86" s="64">
        <f t="shared" si="70"/>
        <v>9150000</v>
      </c>
      <c r="AI86" s="64">
        <f t="shared" si="71"/>
        <v>0</v>
      </c>
      <c r="AJ86" s="64">
        <f t="shared" si="72"/>
        <v>11183333.333333334</v>
      </c>
      <c r="AK86" s="64">
        <f t="shared" si="73"/>
        <v>0</v>
      </c>
      <c r="AL86" s="64">
        <f t="shared" si="74"/>
        <v>123918331.18298163</v>
      </c>
    </row>
    <row r="87" spans="1:38" s="67" customFormat="1" ht="24.75" customHeight="1" x14ac:dyDescent="0.2">
      <c r="A87" s="67">
        <v>1411</v>
      </c>
      <c r="B87" s="67">
        <f>VLOOKUP($A87,'اطلاعات پرسنل'!$A$1:$AL$501,28,0)</f>
        <v>1</v>
      </c>
      <c r="C87" s="6">
        <v>6</v>
      </c>
      <c r="D87" s="5" t="str">
        <f>VLOOKUP($A87,'اطلاعات پرسنل'!$A$1:$AL$301,3,0)</f>
        <v xml:space="preserve">سجاد </v>
      </c>
      <c r="E87" s="5" t="str">
        <f>VLOOKUP($A87,'اطلاعات پرسنل'!$A$1:$AL$111,4,0)</f>
        <v>بهمنی</v>
      </c>
      <c r="F87" s="25">
        <f>VLOOKUP($A87,'اطلاعات پرسنل'!$A$1:$AL$511,34,0)</f>
        <v>6</v>
      </c>
      <c r="G87" s="19">
        <v>0</v>
      </c>
      <c r="H87" s="139">
        <f t="shared" si="59"/>
        <v>30.5</v>
      </c>
      <c r="I87" s="64">
        <f>VLOOKUP($A87,'اطلاعات پرسنل'!$A$1:$BW$111,21,0)</f>
        <v>0</v>
      </c>
      <c r="J87" s="64">
        <f>VLOOKUP($A87,'اطلاعات پرسنل'!$A$1:$BW$111,41,0)</f>
        <v>2132174.2620000001</v>
      </c>
      <c r="K87" s="64">
        <v>0</v>
      </c>
      <c r="L87" s="64">
        <v>0</v>
      </c>
      <c r="M87" s="19">
        <v>0</v>
      </c>
      <c r="N87" s="64">
        <f t="shared" si="60"/>
        <v>0</v>
      </c>
      <c r="O87" s="19">
        <f t="shared" ref="O87:O89" si="75">H87</f>
        <v>30.5</v>
      </c>
      <c r="P87" s="64">
        <f t="shared" ref="P87:P89" si="76">J87*15%*O87</f>
        <v>9754697.2486499995</v>
      </c>
      <c r="Q87" s="64"/>
      <c r="R87" s="64"/>
      <c r="S87" s="64">
        <f t="shared" si="61"/>
        <v>0</v>
      </c>
      <c r="T87" s="64">
        <f t="shared" si="62"/>
        <v>5396755.3999999994</v>
      </c>
      <c r="U87" s="64">
        <v>0</v>
      </c>
      <c r="V87" s="18">
        <f t="shared" si="63"/>
        <v>0</v>
      </c>
      <c r="W87" s="64">
        <v>60</v>
      </c>
      <c r="X87" s="18">
        <f t="shared" si="64"/>
        <v>24423087.112104941</v>
      </c>
      <c r="Y87" s="21">
        <v>0</v>
      </c>
      <c r="Z87" s="21">
        <f t="shared" si="65"/>
        <v>0</v>
      </c>
      <c r="AA87" s="21">
        <v>0</v>
      </c>
      <c r="AB87" s="21">
        <f t="shared" si="66"/>
        <v>0</v>
      </c>
      <c r="AC87" s="21"/>
      <c r="AD87" s="21">
        <f t="shared" si="67"/>
        <v>0</v>
      </c>
      <c r="AE87" s="21"/>
      <c r="AF87" s="21">
        <f t="shared" si="68"/>
        <v>0</v>
      </c>
      <c r="AG87" s="64">
        <f t="shared" si="69"/>
        <v>0</v>
      </c>
      <c r="AH87" s="64">
        <f t="shared" si="70"/>
        <v>9150000</v>
      </c>
      <c r="AI87" s="64">
        <f t="shared" si="71"/>
        <v>0</v>
      </c>
      <c r="AJ87" s="64">
        <f t="shared" si="72"/>
        <v>11183333.333333334</v>
      </c>
      <c r="AK87" s="64">
        <f t="shared" si="73"/>
        <v>0</v>
      </c>
      <c r="AL87" s="64">
        <f t="shared" si="74"/>
        <v>124939188.08508828</v>
      </c>
    </row>
    <row r="88" spans="1:38" s="67" customFormat="1" ht="24.75" customHeight="1" x14ac:dyDescent="0.2">
      <c r="A88" s="67">
        <v>1414</v>
      </c>
      <c r="B88" s="67">
        <f>VLOOKUP($A88,'اطلاعات پرسنل'!$A$1:$AL$501,28,0)</f>
        <v>2</v>
      </c>
      <c r="C88" s="4">
        <v>7</v>
      </c>
      <c r="D88" s="5" t="str">
        <f>VLOOKUP($A88,'اطلاعات پرسنل'!$A$1:$AL$301,3,0)</f>
        <v xml:space="preserve">فرج اله </v>
      </c>
      <c r="E88" s="5" t="str">
        <f>VLOOKUP($A88,'اطلاعات پرسنل'!$A$1:$AL$111,4,0)</f>
        <v>جوادی</v>
      </c>
      <c r="F88" s="25">
        <f>VLOOKUP($A88,'اطلاعات پرسنل'!$A$1:$AL$511,34,0)</f>
        <v>6</v>
      </c>
      <c r="G88" s="19">
        <v>0</v>
      </c>
      <c r="H88" s="139">
        <f t="shared" si="59"/>
        <v>30.5</v>
      </c>
      <c r="I88" s="64">
        <f>VLOOKUP($A88,'اطلاعات پرسنل'!$A$1:$BW$111,21,0)</f>
        <v>0</v>
      </c>
      <c r="J88" s="64">
        <f>VLOOKUP($A88,'اطلاعات پرسنل'!$A$1:$BW$111,41,0)</f>
        <v>2337463.8703333335</v>
      </c>
      <c r="K88" s="64">
        <v>0</v>
      </c>
      <c r="L88" s="64">
        <v>0</v>
      </c>
      <c r="M88" s="19">
        <v>0</v>
      </c>
      <c r="N88" s="64">
        <f t="shared" si="60"/>
        <v>0</v>
      </c>
      <c r="O88" s="19">
        <f t="shared" si="75"/>
        <v>30.5</v>
      </c>
      <c r="P88" s="64">
        <f t="shared" si="76"/>
        <v>10693897.206775</v>
      </c>
      <c r="Q88" s="64"/>
      <c r="R88" s="64"/>
      <c r="S88" s="64">
        <f t="shared" si="61"/>
        <v>0</v>
      </c>
      <c r="T88" s="64">
        <f t="shared" si="62"/>
        <v>10793510.799999999</v>
      </c>
      <c r="U88" s="64">
        <v>0</v>
      </c>
      <c r="V88" s="18">
        <f t="shared" si="63"/>
        <v>0</v>
      </c>
      <c r="W88" s="64">
        <v>60</v>
      </c>
      <c r="X88" s="18">
        <f t="shared" si="64"/>
        <v>26774586.272793576</v>
      </c>
      <c r="Y88" s="21">
        <v>0</v>
      </c>
      <c r="Z88" s="21">
        <f t="shared" si="65"/>
        <v>0</v>
      </c>
      <c r="AA88" s="21">
        <v>0</v>
      </c>
      <c r="AB88" s="21">
        <f t="shared" si="66"/>
        <v>0</v>
      </c>
      <c r="AC88" s="21"/>
      <c r="AD88" s="21">
        <f t="shared" si="67"/>
        <v>0</v>
      </c>
      <c r="AE88" s="21"/>
      <c r="AF88" s="21">
        <f t="shared" si="68"/>
        <v>0</v>
      </c>
      <c r="AG88" s="64">
        <f t="shared" si="69"/>
        <v>0</v>
      </c>
      <c r="AH88" s="64">
        <f t="shared" si="70"/>
        <v>9150000</v>
      </c>
      <c r="AI88" s="64">
        <f t="shared" si="71"/>
        <v>0</v>
      </c>
      <c r="AJ88" s="64">
        <f t="shared" si="72"/>
        <v>11183333.333333334</v>
      </c>
      <c r="AK88" s="64">
        <f t="shared" si="73"/>
        <v>0</v>
      </c>
      <c r="AL88" s="64">
        <f t="shared" si="74"/>
        <v>139887975.65806857</v>
      </c>
    </row>
    <row r="89" spans="1:38" s="67" customFormat="1" ht="24.75" customHeight="1" x14ac:dyDescent="0.2">
      <c r="A89" s="67">
        <v>1415</v>
      </c>
      <c r="B89" s="67">
        <f>VLOOKUP($A89,'اطلاعات پرسنل'!$A$1:$AL$501,28,0)</f>
        <v>2</v>
      </c>
      <c r="C89" s="6">
        <v>8</v>
      </c>
      <c r="D89" s="5" t="str">
        <f>VLOOKUP($A89,'اطلاعات پرسنل'!$A$1:$AL$301,3,0)</f>
        <v xml:space="preserve">ایرج </v>
      </c>
      <c r="E89" s="5" t="str">
        <f>VLOOKUP($A89,'اطلاعات پرسنل'!$A$1:$AL$111,4,0)</f>
        <v>جوادی</v>
      </c>
      <c r="F89" s="25">
        <f>VLOOKUP($A89,'اطلاعات پرسنل'!$A$1:$AL$511,34,0)</f>
        <v>6</v>
      </c>
      <c r="G89" s="19">
        <v>0</v>
      </c>
      <c r="H89" s="139">
        <f t="shared" si="59"/>
        <v>30.5</v>
      </c>
      <c r="I89" s="64">
        <f>VLOOKUP($A89,'اطلاعات پرسنل'!$A$1:$BW$111,21,0)</f>
        <v>0</v>
      </c>
      <c r="J89" s="64">
        <f>VLOOKUP($A89,'اطلاعات پرسنل'!$A$1:$BW$111,41,0)</f>
        <v>2322313.0973333335</v>
      </c>
      <c r="K89" s="64">
        <v>0</v>
      </c>
      <c r="L89" s="64">
        <v>0</v>
      </c>
      <c r="M89" s="19">
        <v>0</v>
      </c>
      <c r="N89" s="64">
        <f t="shared" si="60"/>
        <v>0</v>
      </c>
      <c r="O89" s="19">
        <f t="shared" si="75"/>
        <v>30.5</v>
      </c>
      <c r="P89" s="64">
        <f t="shared" si="76"/>
        <v>10624582.420299999</v>
      </c>
      <c r="Q89" s="64"/>
      <c r="R89" s="64"/>
      <c r="S89" s="64">
        <f t="shared" si="61"/>
        <v>0</v>
      </c>
      <c r="T89" s="64">
        <f t="shared" si="62"/>
        <v>10793510.799999999</v>
      </c>
      <c r="U89" s="64">
        <v>0</v>
      </c>
      <c r="V89" s="18">
        <f t="shared" si="63"/>
        <v>0</v>
      </c>
      <c r="W89" s="64">
        <v>60</v>
      </c>
      <c r="X89" s="18">
        <f t="shared" si="64"/>
        <v>26601041.054004733</v>
      </c>
      <c r="Y89" s="21">
        <v>0</v>
      </c>
      <c r="Z89" s="21">
        <f t="shared" si="65"/>
        <v>0</v>
      </c>
      <c r="AA89" s="21">
        <v>0</v>
      </c>
      <c r="AB89" s="21">
        <f t="shared" si="66"/>
        <v>0</v>
      </c>
      <c r="AC89" s="21"/>
      <c r="AD89" s="21">
        <f t="shared" si="67"/>
        <v>0</v>
      </c>
      <c r="AE89" s="21"/>
      <c r="AF89" s="21">
        <f t="shared" si="68"/>
        <v>0</v>
      </c>
      <c r="AG89" s="64">
        <f t="shared" si="69"/>
        <v>0</v>
      </c>
      <c r="AH89" s="64">
        <f t="shared" si="70"/>
        <v>9150000</v>
      </c>
      <c r="AI89" s="64">
        <f t="shared" si="71"/>
        <v>0</v>
      </c>
      <c r="AJ89" s="64">
        <f t="shared" si="72"/>
        <v>11183333.333333334</v>
      </c>
      <c r="AK89" s="64">
        <f t="shared" si="73"/>
        <v>0</v>
      </c>
      <c r="AL89" s="64">
        <f t="shared" si="74"/>
        <v>139183017.07630473</v>
      </c>
    </row>
    <row r="90" spans="1:38" s="67" customFormat="1" ht="24.75" customHeight="1" x14ac:dyDescent="0.2">
      <c r="A90" s="67">
        <v>1421</v>
      </c>
      <c r="B90" s="67">
        <f>VLOOKUP($A90,'اطلاعات پرسنل'!$A$1:$AL$501,28,0)</f>
        <v>2</v>
      </c>
      <c r="C90" s="4">
        <v>9</v>
      </c>
      <c r="D90" s="5" t="str">
        <f>VLOOKUP($A90,'اطلاعات پرسنل'!$A$1:$AL$301,3,0)</f>
        <v xml:space="preserve">اکبر </v>
      </c>
      <c r="E90" s="5" t="str">
        <f>VLOOKUP($A90,'اطلاعات پرسنل'!$A$1:$AL$111,4,0)</f>
        <v>خانی</v>
      </c>
      <c r="F90" s="25">
        <f>VLOOKUP($A90,'اطلاعات پرسنل'!$A$1:$AL$511,34,0)</f>
        <v>2</v>
      </c>
      <c r="G90" s="19">
        <v>0</v>
      </c>
      <c r="H90" s="139">
        <f t="shared" si="59"/>
        <v>30.5</v>
      </c>
      <c r="I90" s="64">
        <f>VLOOKUP($A90,'اطلاعات پرسنل'!$A$1:$BW$111,21,0)</f>
        <v>0</v>
      </c>
      <c r="J90" s="64">
        <f>VLOOKUP($A90,'اطلاعات پرسنل'!$A$1:$BW$111,41,0)</f>
        <v>2131374.2620000001</v>
      </c>
      <c r="K90" s="64">
        <v>0</v>
      </c>
      <c r="L90" s="64">
        <v>0</v>
      </c>
      <c r="M90" s="19">
        <v>0</v>
      </c>
      <c r="N90" s="64">
        <f t="shared" si="60"/>
        <v>0</v>
      </c>
      <c r="O90" s="19"/>
      <c r="P90" s="64">
        <f>K90*22.5%*O90</f>
        <v>0</v>
      </c>
      <c r="Q90" s="64"/>
      <c r="R90" s="64"/>
      <c r="S90" s="64">
        <f t="shared" si="61"/>
        <v>0</v>
      </c>
      <c r="T90" s="64">
        <f t="shared" si="62"/>
        <v>10793510.799999999</v>
      </c>
      <c r="U90" s="64">
        <v>0</v>
      </c>
      <c r="V90" s="18">
        <f t="shared" si="63"/>
        <v>0</v>
      </c>
      <c r="W90" s="64">
        <v>40</v>
      </c>
      <c r="X90" s="18">
        <f t="shared" si="64"/>
        <v>16275948.983799769</v>
      </c>
      <c r="Y90" s="21">
        <v>0</v>
      </c>
      <c r="Z90" s="21">
        <f t="shared" si="65"/>
        <v>0</v>
      </c>
      <c r="AA90" s="21">
        <v>0</v>
      </c>
      <c r="AB90" s="21">
        <f t="shared" si="66"/>
        <v>0</v>
      </c>
      <c r="AC90" s="21"/>
      <c r="AD90" s="21">
        <f t="shared" si="67"/>
        <v>0</v>
      </c>
      <c r="AE90" s="21"/>
      <c r="AF90" s="21">
        <f t="shared" si="68"/>
        <v>0</v>
      </c>
      <c r="AG90" s="64">
        <f t="shared" si="69"/>
        <v>0</v>
      </c>
      <c r="AH90" s="64">
        <f t="shared" si="70"/>
        <v>9150000</v>
      </c>
      <c r="AI90" s="64">
        <f t="shared" si="71"/>
        <v>0</v>
      </c>
      <c r="AJ90" s="64">
        <f t="shared" si="72"/>
        <v>11183333.333333334</v>
      </c>
      <c r="AK90" s="64">
        <f t="shared" si="73"/>
        <v>0</v>
      </c>
      <c r="AL90" s="64">
        <f t="shared" si="74"/>
        <v>112409708.10813311</v>
      </c>
    </row>
    <row r="91" spans="1:38" s="67" customFormat="1" ht="24.75" customHeight="1" x14ac:dyDescent="0.2">
      <c r="A91" s="67">
        <v>1431</v>
      </c>
      <c r="B91" s="67">
        <f>VLOOKUP($A91,'اطلاعات پرسنل'!$A$1:$AL$501,28,0)</f>
        <v>1</v>
      </c>
      <c r="C91" s="6">
        <v>10</v>
      </c>
      <c r="D91" s="5" t="str">
        <f>VLOOKUP($A91,'اطلاعات پرسنل'!$A$1:$AL$301,3,0)</f>
        <v xml:space="preserve">خسرو </v>
      </c>
      <c r="E91" s="5" t="str">
        <f>VLOOKUP($A91,'اطلاعات پرسنل'!$A$1:$AL$111,4,0)</f>
        <v>طاهرخانی</v>
      </c>
      <c r="F91" s="25" t="str">
        <f>VLOOKUP($A91,'اطلاعات پرسنل'!$A$1:$AL$511,34,0)</f>
        <v>7</v>
      </c>
      <c r="G91" s="19">
        <v>0</v>
      </c>
      <c r="H91" s="139">
        <f t="shared" si="59"/>
        <v>30.5</v>
      </c>
      <c r="I91" s="64">
        <f>VLOOKUP($A91,'اطلاعات پرسنل'!$A$1:$BW$111,21,0)</f>
        <v>0</v>
      </c>
      <c r="J91" s="64">
        <f>VLOOKUP($A91,'اطلاعات پرسنل'!$A$1:$BW$111,41,0)</f>
        <v>2337663.8703333335</v>
      </c>
      <c r="K91" s="64">
        <v>0</v>
      </c>
      <c r="L91" s="64">
        <v>0</v>
      </c>
      <c r="M91" s="19">
        <v>0</v>
      </c>
      <c r="N91" s="64">
        <f t="shared" si="60"/>
        <v>0</v>
      </c>
      <c r="O91" s="19"/>
      <c r="P91" s="64">
        <f>K91*22.5%*O91</f>
        <v>0</v>
      </c>
      <c r="Q91" s="64"/>
      <c r="R91" s="64"/>
      <c r="S91" s="64">
        <f t="shared" si="61"/>
        <v>0</v>
      </c>
      <c r="T91" s="64">
        <f t="shared" si="62"/>
        <v>5396755.3999999994</v>
      </c>
      <c r="U91" s="64">
        <v>0</v>
      </c>
      <c r="V91" s="18">
        <f t="shared" si="63"/>
        <v>0</v>
      </c>
      <c r="W91" s="64">
        <v>40</v>
      </c>
      <c r="X91" s="18">
        <f t="shared" si="64"/>
        <v>17851251.454596598</v>
      </c>
      <c r="Y91" s="21">
        <v>0</v>
      </c>
      <c r="Z91" s="21">
        <f t="shared" si="65"/>
        <v>0</v>
      </c>
      <c r="AA91" s="21">
        <v>0</v>
      </c>
      <c r="AB91" s="21">
        <f t="shared" si="66"/>
        <v>0</v>
      </c>
      <c r="AC91" s="21"/>
      <c r="AD91" s="21">
        <f t="shared" si="67"/>
        <v>0</v>
      </c>
      <c r="AE91" s="21"/>
      <c r="AF91" s="21">
        <f t="shared" si="68"/>
        <v>0</v>
      </c>
      <c r="AG91" s="64">
        <f t="shared" si="69"/>
        <v>0</v>
      </c>
      <c r="AH91" s="64">
        <f t="shared" si="70"/>
        <v>9150000</v>
      </c>
      <c r="AI91" s="64">
        <f t="shared" si="71"/>
        <v>0</v>
      </c>
      <c r="AJ91" s="64">
        <f t="shared" si="72"/>
        <v>11183333.333333334</v>
      </c>
      <c r="AK91" s="64">
        <f t="shared" si="73"/>
        <v>0</v>
      </c>
      <c r="AL91" s="64">
        <f t="shared" si="74"/>
        <v>114880088.2330966</v>
      </c>
    </row>
    <row r="92" spans="1:38" s="67" customFormat="1" ht="24.75" customHeight="1" x14ac:dyDescent="0.2">
      <c r="A92" s="67">
        <v>1436</v>
      </c>
      <c r="B92" s="67">
        <f>VLOOKUP($A92,'اطلاعات پرسنل'!$A$1:$AL$501,28,0)</f>
        <v>0</v>
      </c>
      <c r="C92" s="4">
        <v>11</v>
      </c>
      <c r="D92" s="5" t="str">
        <f>VLOOKUP($A92,'اطلاعات پرسنل'!$A$1:$AL$301,3,0)</f>
        <v xml:space="preserve">مصطفی </v>
      </c>
      <c r="E92" s="5" t="str">
        <f>VLOOKUP($A92,'اطلاعات پرسنل'!$A$1:$AL$111,4,0)</f>
        <v>قدیری</v>
      </c>
      <c r="F92" s="25">
        <f>VLOOKUP($A92,'اطلاعات پرسنل'!$A$1:$AL$511,34,0)</f>
        <v>6</v>
      </c>
      <c r="G92" s="19">
        <v>0</v>
      </c>
      <c r="H92" s="139">
        <f t="shared" si="59"/>
        <v>30.5</v>
      </c>
      <c r="I92" s="64">
        <f>VLOOKUP($A92,'اطلاعات پرسنل'!$A$1:$BW$111,21,0)</f>
        <v>0</v>
      </c>
      <c r="J92" s="64">
        <f>VLOOKUP($A92,'اطلاعات پرسنل'!$A$1:$BW$111,41,0)</f>
        <v>2227424.0906666666</v>
      </c>
      <c r="K92" s="64">
        <v>0</v>
      </c>
      <c r="L92" s="64">
        <v>0</v>
      </c>
      <c r="M92" s="19">
        <v>0</v>
      </c>
      <c r="N92" s="64">
        <f t="shared" si="60"/>
        <v>0</v>
      </c>
      <c r="O92" s="19">
        <f t="shared" ref="O92:O93" si="77">H92</f>
        <v>30.5</v>
      </c>
      <c r="P92" s="64">
        <f t="shared" ref="P92:P93" si="78">J92*15%*O92</f>
        <v>10190465.2148</v>
      </c>
      <c r="Q92" s="64"/>
      <c r="R92" s="64"/>
      <c r="S92" s="64">
        <f t="shared" si="61"/>
        <v>0</v>
      </c>
      <c r="T92" s="64">
        <f t="shared" si="62"/>
        <v>0</v>
      </c>
      <c r="U92" s="64">
        <v>0</v>
      </c>
      <c r="V92" s="18">
        <f t="shared" si="63"/>
        <v>0</v>
      </c>
      <c r="W92" s="64">
        <v>60</v>
      </c>
      <c r="X92" s="18">
        <f t="shared" si="64"/>
        <v>25514130.609064229</v>
      </c>
      <c r="Y92" s="21">
        <v>0</v>
      </c>
      <c r="Z92" s="21">
        <f t="shared" si="65"/>
        <v>0</v>
      </c>
      <c r="AA92" s="21">
        <v>0</v>
      </c>
      <c r="AB92" s="21">
        <f t="shared" si="66"/>
        <v>0</v>
      </c>
      <c r="AC92" s="21"/>
      <c r="AD92" s="21">
        <f t="shared" si="67"/>
        <v>0</v>
      </c>
      <c r="AE92" s="21"/>
      <c r="AF92" s="21">
        <f t="shared" si="68"/>
        <v>0</v>
      </c>
      <c r="AG92" s="64">
        <f t="shared" si="69"/>
        <v>0</v>
      </c>
      <c r="AH92" s="64">
        <f t="shared" si="70"/>
        <v>9150000</v>
      </c>
      <c r="AI92" s="64">
        <f t="shared" si="71"/>
        <v>0</v>
      </c>
      <c r="AJ92" s="64">
        <f t="shared" si="72"/>
        <v>11183333.333333334</v>
      </c>
      <c r="AK92" s="64">
        <f t="shared" si="73"/>
        <v>0</v>
      </c>
      <c r="AL92" s="64">
        <f t="shared" si="74"/>
        <v>123974363.92253087</v>
      </c>
    </row>
    <row r="93" spans="1:38" s="67" customFormat="1" ht="24.75" customHeight="1" x14ac:dyDescent="0.2">
      <c r="A93" s="67">
        <v>1448</v>
      </c>
      <c r="B93" s="67">
        <f>VLOOKUP($A93,'اطلاعات پرسنل'!$A$1:$AL$501,28,0)</f>
        <v>3</v>
      </c>
      <c r="C93" s="6">
        <v>12</v>
      </c>
      <c r="D93" s="5" t="str">
        <f>VLOOKUP($A93,'اطلاعات پرسنل'!$A$1:$AL$301,3,0)</f>
        <v xml:space="preserve">عزیز </v>
      </c>
      <c r="E93" s="5" t="str">
        <f>VLOOKUP($A93,'اطلاعات پرسنل'!$A$1:$AL$111,4,0)</f>
        <v>مهربان</v>
      </c>
      <c r="F93" s="25">
        <f>VLOOKUP($A93,'اطلاعات پرسنل'!$A$1:$AL$511,34,0)</f>
        <v>2</v>
      </c>
      <c r="G93" s="19">
        <v>0</v>
      </c>
      <c r="H93" s="139">
        <f t="shared" si="59"/>
        <v>30.5</v>
      </c>
      <c r="I93" s="64">
        <f>VLOOKUP($A93,'اطلاعات پرسنل'!$A$1:$BW$111,21,0)</f>
        <v>0</v>
      </c>
      <c r="J93" s="64">
        <f>VLOOKUP($A93,'اطلاعات پرسنل'!$A$1:$BW$111,41,0)</f>
        <v>2336663.8703333335</v>
      </c>
      <c r="K93" s="64">
        <v>0</v>
      </c>
      <c r="L93" s="64">
        <v>0</v>
      </c>
      <c r="M93" s="19">
        <v>0</v>
      </c>
      <c r="N93" s="64">
        <f t="shared" si="60"/>
        <v>0</v>
      </c>
      <c r="O93" s="19">
        <f t="shared" si="77"/>
        <v>30.5</v>
      </c>
      <c r="P93" s="64">
        <f t="shared" si="78"/>
        <v>10690237.206775</v>
      </c>
      <c r="Q93" s="64"/>
      <c r="R93" s="64"/>
      <c r="S93" s="64">
        <f t="shared" si="61"/>
        <v>0</v>
      </c>
      <c r="T93" s="64">
        <f t="shared" si="62"/>
        <v>16190266.200000001</v>
      </c>
      <c r="U93" s="64">
        <v>0</v>
      </c>
      <c r="V93" s="18">
        <f t="shared" si="63"/>
        <v>0</v>
      </c>
      <c r="W93" s="64">
        <v>60</v>
      </c>
      <c r="X93" s="18">
        <f t="shared" si="64"/>
        <v>26765422.636388287</v>
      </c>
      <c r="Y93" s="21">
        <v>0</v>
      </c>
      <c r="Z93" s="21">
        <f t="shared" si="65"/>
        <v>0</v>
      </c>
      <c r="AA93" s="21">
        <v>0</v>
      </c>
      <c r="AB93" s="21">
        <f t="shared" si="66"/>
        <v>0</v>
      </c>
      <c r="AC93" s="21"/>
      <c r="AD93" s="21">
        <f t="shared" si="67"/>
        <v>0</v>
      </c>
      <c r="AE93" s="21"/>
      <c r="AF93" s="21">
        <f t="shared" si="68"/>
        <v>0</v>
      </c>
      <c r="AG93" s="64">
        <f t="shared" si="69"/>
        <v>0</v>
      </c>
      <c r="AH93" s="64">
        <f t="shared" si="70"/>
        <v>9150000</v>
      </c>
      <c r="AI93" s="64">
        <f t="shared" si="71"/>
        <v>0</v>
      </c>
      <c r="AJ93" s="64">
        <f t="shared" si="72"/>
        <v>11183333.333333334</v>
      </c>
      <c r="AK93" s="64">
        <f t="shared" si="73"/>
        <v>0</v>
      </c>
      <c r="AL93" s="64">
        <f t="shared" si="74"/>
        <v>145247507.42166328</v>
      </c>
    </row>
    <row r="94" spans="1:38" ht="24" x14ac:dyDescent="0.2">
      <c r="A94" s="2">
        <v>1449</v>
      </c>
      <c r="B94" s="67">
        <f>VLOOKUP($A94,'اطلاعات پرسنل'!$A$1:$AL$501,28,0)</f>
        <v>2</v>
      </c>
      <c r="C94" s="4">
        <v>13</v>
      </c>
      <c r="D94" s="5" t="str">
        <f>VLOOKUP($A94,'اطلاعات پرسنل'!$A$1:$AL$301,3,0)</f>
        <v xml:space="preserve">ولی </v>
      </c>
      <c r="E94" s="5" t="str">
        <f>VLOOKUP($A94,'اطلاعات پرسنل'!$A$1:$AL$111,4,0)</f>
        <v>مهرعلیان</v>
      </c>
      <c r="F94" s="25">
        <f>VLOOKUP($A94,'اطلاعات پرسنل'!$A$1:$AL$511,34,0)</f>
        <v>2</v>
      </c>
      <c r="G94" s="19">
        <v>0</v>
      </c>
      <c r="H94" s="139">
        <f t="shared" si="59"/>
        <v>30.5</v>
      </c>
      <c r="I94" s="64">
        <f>VLOOKUP($A94,'اطلاعات پرسنل'!$A$1:$BW$111,21,0)</f>
        <v>0</v>
      </c>
      <c r="J94" s="64">
        <f>VLOOKUP($A94,'اطلاعات پرسنل'!$A$1:$BW$111,41,0)</f>
        <v>2072379.3810000001</v>
      </c>
      <c r="K94" s="64">
        <v>0</v>
      </c>
      <c r="L94" s="64">
        <v>0</v>
      </c>
      <c r="M94" s="19">
        <v>0</v>
      </c>
      <c r="N94" s="64">
        <f t="shared" si="60"/>
        <v>0</v>
      </c>
      <c r="O94" s="19"/>
      <c r="P94" s="64">
        <f>K94*22.5%*O94</f>
        <v>0</v>
      </c>
      <c r="Q94" s="64"/>
      <c r="R94" s="64"/>
      <c r="S94" s="64">
        <f t="shared" si="61"/>
        <v>0</v>
      </c>
      <c r="T94" s="64">
        <f t="shared" si="62"/>
        <v>10793510.799999999</v>
      </c>
      <c r="U94" s="64">
        <v>0</v>
      </c>
      <c r="V94" s="18">
        <f t="shared" si="63"/>
        <v>0</v>
      </c>
      <c r="W94" s="64">
        <v>40</v>
      </c>
      <c r="X94" s="18">
        <f t="shared" si="64"/>
        <v>15825442.617752012</v>
      </c>
      <c r="Y94" s="21">
        <v>0</v>
      </c>
      <c r="Z94" s="21">
        <f t="shared" si="65"/>
        <v>0</v>
      </c>
      <c r="AA94" s="21">
        <v>0</v>
      </c>
      <c r="AB94" s="21">
        <f t="shared" si="66"/>
        <v>0</v>
      </c>
      <c r="AC94" s="21"/>
      <c r="AD94" s="21">
        <f t="shared" si="67"/>
        <v>0</v>
      </c>
      <c r="AE94" s="21"/>
      <c r="AF94" s="21">
        <f t="shared" si="68"/>
        <v>0</v>
      </c>
      <c r="AG94" s="64">
        <f t="shared" si="69"/>
        <v>0</v>
      </c>
      <c r="AH94" s="64">
        <f t="shared" si="70"/>
        <v>9150000</v>
      </c>
      <c r="AI94" s="64">
        <f t="shared" si="71"/>
        <v>0</v>
      </c>
      <c r="AJ94" s="64">
        <f t="shared" si="72"/>
        <v>11183333.333333334</v>
      </c>
      <c r="AK94" s="64">
        <f t="shared" si="73"/>
        <v>0</v>
      </c>
      <c r="AL94" s="64">
        <f t="shared" si="74"/>
        <v>110159857.87158534</v>
      </c>
    </row>
    <row r="95" spans="1:38" ht="24" x14ac:dyDescent="0.2">
      <c r="A95" s="2">
        <v>1401</v>
      </c>
      <c r="B95" s="67">
        <f>VLOOKUP($A95,'اطلاعات پرسنل'!$A$1:$AL$501,28,0)</f>
        <v>1</v>
      </c>
      <c r="C95" s="6">
        <v>14</v>
      </c>
      <c r="D95" s="5" t="str">
        <f>VLOOKUP($A95,'اطلاعات پرسنل'!$A$1:$AL$301,3,0)</f>
        <v>حسن</v>
      </c>
      <c r="E95" s="5" t="str">
        <f>VLOOKUP($A95,'اطلاعات پرسنل'!$A$1:$AL$111,4,0)</f>
        <v>اسماعیلی</v>
      </c>
      <c r="F95" s="25">
        <f>VLOOKUP($A95,'اطلاعات پرسنل'!$A$1:$AL$511,34,0)</f>
        <v>6</v>
      </c>
      <c r="G95" s="19">
        <v>0</v>
      </c>
      <c r="H95" s="139">
        <f t="shared" si="59"/>
        <v>30.5</v>
      </c>
      <c r="I95" s="64">
        <f>VLOOKUP($A95,'اطلاعات پرسنل'!$A$1:$BW$111,21,0)</f>
        <v>0</v>
      </c>
      <c r="J95" s="64">
        <f>VLOOKUP($A95,'اطلاعات پرسنل'!$A$1:$BW$111,41,0)</f>
        <v>2337463.8703333335</v>
      </c>
      <c r="K95" s="64">
        <v>0</v>
      </c>
      <c r="L95" s="64">
        <v>0</v>
      </c>
      <c r="M95" s="19">
        <v>0</v>
      </c>
      <c r="N95" s="64">
        <f t="shared" si="60"/>
        <v>0</v>
      </c>
      <c r="O95" s="19">
        <f>H95</f>
        <v>30.5</v>
      </c>
      <c r="P95" s="64">
        <f>J95*15%*O95</f>
        <v>10693897.206775</v>
      </c>
      <c r="Q95" s="64"/>
      <c r="R95" s="64"/>
      <c r="S95" s="64">
        <f t="shared" si="61"/>
        <v>0</v>
      </c>
      <c r="T95" s="64">
        <f t="shared" si="62"/>
        <v>5396755.3999999994</v>
      </c>
      <c r="U95" s="64">
        <v>0</v>
      </c>
      <c r="V95" s="18">
        <f t="shared" si="63"/>
        <v>0</v>
      </c>
      <c r="W95" s="64">
        <v>60</v>
      </c>
      <c r="X95" s="18">
        <f t="shared" si="64"/>
        <v>26774586.272793576</v>
      </c>
      <c r="Y95" s="21">
        <v>0</v>
      </c>
      <c r="Z95" s="21">
        <f t="shared" si="65"/>
        <v>0</v>
      </c>
      <c r="AA95" s="21">
        <v>0</v>
      </c>
      <c r="AB95" s="21">
        <f t="shared" si="66"/>
        <v>0</v>
      </c>
      <c r="AC95" s="21"/>
      <c r="AD95" s="21">
        <f t="shared" si="67"/>
        <v>0</v>
      </c>
      <c r="AE95" s="21"/>
      <c r="AF95" s="21">
        <f t="shared" si="68"/>
        <v>0</v>
      </c>
      <c r="AG95" s="64">
        <f t="shared" si="69"/>
        <v>0</v>
      </c>
      <c r="AH95" s="64">
        <f t="shared" si="70"/>
        <v>9150000</v>
      </c>
      <c r="AI95" s="64">
        <f t="shared" si="71"/>
        <v>0</v>
      </c>
      <c r="AJ95" s="64">
        <f t="shared" si="72"/>
        <v>11183333.333333334</v>
      </c>
      <c r="AK95" s="64">
        <f t="shared" si="73"/>
        <v>0</v>
      </c>
      <c r="AL95" s="64">
        <f t="shared" si="74"/>
        <v>134491220.25806859</v>
      </c>
    </row>
    <row r="96" spans="1:38" ht="24" x14ac:dyDescent="0.2">
      <c r="A96" s="2">
        <v>1403</v>
      </c>
      <c r="B96" s="67">
        <f>VLOOKUP($A96,'اطلاعات پرسنل'!$A$1:$AL$501,28,0)</f>
        <v>1</v>
      </c>
      <c r="C96" s="4">
        <v>15</v>
      </c>
      <c r="D96" s="5" t="str">
        <f>VLOOKUP($A96,'اطلاعات پرسنل'!$A$1:$AL$301,3,0)</f>
        <v>حجت</v>
      </c>
      <c r="E96" s="5" t="str">
        <f>VLOOKUP($A96,'اطلاعات پرسنل'!$A$1:$AL$111,4,0)</f>
        <v>افراشته</v>
      </c>
      <c r="F96" s="25">
        <f>VLOOKUP($A96,'اطلاعات پرسنل'!$A$1:$AL$511,34,0)</f>
        <v>6</v>
      </c>
      <c r="G96" s="19">
        <v>0</v>
      </c>
      <c r="H96" s="139">
        <f t="shared" si="59"/>
        <v>30.5</v>
      </c>
      <c r="I96" s="64">
        <f>VLOOKUP($A96,'اطلاعات پرسنل'!$A$1:$BW$111,21,0)</f>
        <v>0</v>
      </c>
      <c r="J96" s="64">
        <f>VLOOKUP($A96,'اطلاعات پرسنل'!$A$1:$BW$111,41,0)</f>
        <v>2261228.7480000001</v>
      </c>
      <c r="K96" s="64">
        <v>0</v>
      </c>
      <c r="L96" s="64">
        <v>0</v>
      </c>
      <c r="M96" s="19">
        <v>0</v>
      </c>
      <c r="N96" s="64">
        <f t="shared" si="60"/>
        <v>0</v>
      </c>
      <c r="O96" s="19">
        <f>H96</f>
        <v>30.5</v>
      </c>
      <c r="P96" s="64">
        <f>J96*15%*O96</f>
        <v>10345121.5221</v>
      </c>
      <c r="Q96" s="64"/>
      <c r="R96" s="64"/>
      <c r="S96" s="64">
        <f t="shared" si="61"/>
        <v>0</v>
      </c>
      <c r="T96" s="64">
        <f t="shared" si="62"/>
        <v>5396755.3999999994</v>
      </c>
      <c r="U96" s="64">
        <v>0</v>
      </c>
      <c r="V96" s="18">
        <f t="shared" si="63"/>
        <v>0</v>
      </c>
      <c r="W96" s="64">
        <v>60</v>
      </c>
      <c r="X96" s="18">
        <f t="shared" si="64"/>
        <v>25901347.59482431</v>
      </c>
      <c r="Y96" s="21">
        <v>0</v>
      </c>
      <c r="Z96" s="21">
        <f t="shared" si="65"/>
        <v>0</v>
      </c>
      <c r="AA96" s="21">
        <v>0</v>
      </c>
      <c r="AB96" s="21">
        <f t="shared" si="66"/>
        <v>0</v>
      </c>
      <c r="AC96" s="21"/>
      <c r="AD96" s="21">
        <f t="shared" si="67"/>
        <v>0</v>
      </c>
      <c r="AE96" s="21"/>
      <c r="AF96" s="21">
        <f t="shared" si="68"/>
        <v>0</v>
      </c>
      <c r="AG96" s="64">
        <f t="shared" si="69"/>
        <v>0</v>
      </c>
      <c r="AH96" s="64">
        <f t="shared" si="70"/>
        <v>9150000</v>
      </c>
      <c r="AI96" s="64">
        <f t="shared" si="71"/>
        <v>0</v>
      </c>
      <c r="AJ96" s="64">
        <f t="shared" si="72"/>
        <v>11183333.333333334</v>
      </c>
      <c r="AK96" s="64">
        <f t="shared" si="73"/>
        <v>0</v>
      </c>
      <c r="AL96" s="64">
        <f t="shared" si="74"/>
        <v>130944034.66425766</v>
      </c>
    </row>
    <row r="97" spans="1:38" ht="24" x14ac:dyDescent="0.2">
      <c r="A97" s="2">
        <v>1405</v>
      </c>
      <c r="B97" s="67">
        <f>VLOOKUP($A97,'اطلاعات پرسنل'!$A$1:$AL$501,28,0)</f>
        <v>1</v>
      </c>
      <c r="C97" s="6">
        <v>16</v>
      </c>
      <c r="D97" s="5" t="str">
        <f>VLOOKUP($A97,'اطلاعات پرسنل'!$A$1:$AL$301,3,0)</f>
        <v>جواد</v>
      </c>
      <c r="E97" s="5" t="str">
        <f>VLOOKUP($A97,'اطلاعات پرسنل'!$A$1:$AL$111,4,0)</f>
        <v>امینی</v>
      </c>
      <c r="F97" s="25">
        <f>VLOOKUP($A97,'اطلاعات پرسنل'!$A$1:$AL$511,34,0)</f>
        <v>4</v>
      </c>
      <c r="G97" s="19">
        <v>0</v>
      </c>
      <c r="H97" s="139">
        <f t="shared" si="59"/>
        <v>30.5</v>
      </c>
      <c r="I97" s="64">
        <f>VLOOKUP($A97,'اطلاعات پرسنل'!$A$1:$BW$111,21,0)</f>
        <v>0</v>
      </c>
      <c r="J97" s="64">
        <f>VLOOKUP($A97,'اطلاعات پرسنل'!$A$1:$BW$111,41,0)</f>
        <v>2175711.9836666668</v>
      </c>
      <c r="K97" s="64">
        <v>0</v>
      </c>
      <c r="L97" s="64">
        <v>0</v>
      </c>
      <c r="M97" s="19">
        <v>0</v>
      </c>
      <c r="N97" s="64">
        <f t="shared" si="60"/>
        <v>0</v>
      </c>
      <c r="O97" s="19"/>
      <c r="P97" s="64">
        <f t="shared" ref="P97:P102" si="79">K97*22.5%*O97</f>
        <v>0</v>
      </c>
      <c r="Q97" s="64"/>
      <c r="R97" s="64"/>
      <c r="S97" s="64">
        <f t="shared" si="61"/>
        <v>0</v>
      </c>
      <c r="T97" s="64">
        <f t="shared" si="62"/>
        <v>5396755.3999999994</v>
      </c>
      <c r="U97" s="64">
        <v>0</v>
      </c>
      <c r="V97" s="18">
        <f t="shared" si="63"/>
        <v>0</v>
      </c>
      <c r="W97" s="64">
        <v>40</v>
      </c>
      <c r="X97" s="18">
        <f t="shared" si="64"/>
        <v>16614527.950793311</v>
      </c>
      <c r="Y97" s="21">
        <v>0</v>
      </c>
      <c r="Z97" s="21">
        <f t="shared" si="65"/>
        <v>0</v>
      </c>
      <c r="AA97" s="21">
        <v>0</v>
      </c>
      <c r="AB97" s="21">
        <f t="shared" si="66"/>
        <v>0</v>
      </c>
      <c r="AC97" s="21"/>
      <c r="AD97" s="21">
        <f t="shared" si="67"/>
        <v>0</v>
      </c>
      <c r="AE97" s="21"/>
      <c r="AF97" s="21">
        <f t="shared" si="68"/>
        <v>0</v>
      </c>
      <c r="AG97" s="64">
        <f t="shared" si="69"/>
        <v>0</v>
      </c>
      <c r="AH97" s="64">
        <f t="shared" si="70"/>
        <v>9150000</v>
      </c>
      <c r="AI97" s="64">
        <f t="shared" si="71"/>
        <v>0</v>
      </c>
      <c r="AJ97" s="64">
        <f t="shared" si="72"/>
        <v>11183333.333333334</v>
      </c>
      <c r="AK97" s="64">
        <f t="shared" si="73"/>
        <v>0</v>
      </c>
      <c r="AL97" s="64">
        <f t="shared" si="74"/>
        <v>108703832.18595998</v>
      </c>
    </row>
    <row r="98" spans="1:38" ht="24" x14ac:dyDescent="0.2">
      <c r="A98" s="2">
        <v>1406</v>
      </c>
      <c r="B98" s="67">
        <f>VLOOKUP($A98,'اطلاعات پرسنل'!$A$1:$AL$501,28,0)</f>
        <v>3</v>
      </c>
      <c r="C98" s="4">
        <v>17</v>
      </c>
      <c r="D98" s="5" t="str">
        <f>VLOOKUP($A98,'اطلاعات پرسنل'!$A$1:$AL$301,3,0)</f>
        <v>محمد</v>
      </c>
      <c r="E98" s="5" t="str">
        <f>VLOOKUP($A98,'اطلاعات پرسنل'!$A$1:$AL$111,4,0)</f>
        <v>ایراندوست</v>
      </c>
      <c r="F98" s="25">
        <f>VLOOKUP($A98,'اطلاعات پرسنل'!$A$1:$AL$511,34,0)</f>
        <v>7</v>
      </c>
      <c r="G98" s="19">
        <v>0</v>
      </c>
      <c r="H98" s="139">
        <f t="shared" si="59"/>
        <v>30.5</v>
      </c>
      <c r="I98" s="64">
        <f>VLOOKUP($A98,'اطلاعات پرسنل'!$A$1:$BW$111,21,0)</f>
        <v>0</v>
      </c>
      <c r="J98" s="64">
        <f>VLOOKUP($A98,'اطلاعات پرسنل'!$A$1:$BW$111,41,0)</f>
        <v>2176311.9836666668</v>
      </c>
      <c r="K98" s="64">
        <v>0</v>
      </c>
      <c r="L98" s="64">
        <v>0</v>
      </c>
      <c r="M98" s="19">
        <v>0</v>
      </c>
      <c r="N98" s="64">
        <f t="shared" si="60"/>
        <v>0</v>
      </c>
      <c r="O98" s="19"/>
      <c r="P98" s="64">
        <f t="shared" si="79"/>
        <v>0</v>
      </c>
      <c r="Q98" s="64"/>
      <c r="R98" s="64"/>
      <c r="S98" s="64">
        <f t="shared" si="61"/>
        <v>0</v>
      </c>
      <c r="T98" s="64">
        <f t="shared" si="62"/>
        <v>16190266.200000001</v>
      </c>
      <c r="U98" s="64">
        <v>0</v>
      </c>
      <c r="V98" s="18">
        <f t="shared" si="63"/>
        <v>0</v>
      </c>
      <c r="W98" s="64">
        <v>40</v>
      </c>
      <c r="X98" s="18">
        <f t="shared" si="64"/>
        <v>16619109.768995956</v>
      </c>
      <c r="Y98" s="21">
        <v>0</v>
      </c>
      <c r="Z98" s="21">
        <f t="shared" si="65"/>
        <v>0</v>
      </c>
      <c r="AA98" s="21">
        <v>0</v>
      </c>
      <c r="AB98" s="21">
        <f t="shared" si="66"/>
        <v>0</v>
      </c>
      <c r="AC98" s="21"/>
      <c r="AD98" s="21">
        <f t="shared" si="67"/>
        <v>0</v>
      </c>
      <c r="AE98" s="21"/>
      <c r="AF98" s="21">
        <f t="shared" si="68"/>
        <v>0</v>
      </c>
      <c r="AG98" s="64">
        <f t="shared" si="69"/>
        <v>0</v>
      </c>
      <c r="AH98" s="64">
        <f t="shared" si="70"/>
        <v>9150000</v>
      </c>
      <c r="AI98" s="64">
        <f t="shared" si="71"/>
        <v>0</v>
      </c>
      <c r="AJ98" s="64">
        <f t="shared" si="72"/>
        <v>11183333.333333334</v>
      </c>
      <c r="AK98" s="64">
        <f t="shared" si="73"/>
        <v>0</v>
      </c>
      <c r="AL98" s="64">
        <f t="shared" si="74"/>
        <v>119520224.80416262</v>
      </c>
    </row>
    <row r="99" spans="1:38" ht="24" x14ac:dyDescent="0.2">
      <c r="A99" s="2">
        <v>1407</v>
      </c>
      <c r="B99" s="67">
        <f>VLOOKUP($A99,'اطلاعات پرسنل'!$A$1:$AL$501,28,0)</f>
        <v>0</v>
      </c>
      <c r="C99" s="6">
        <v>18</v>
      </c>
      <c r="D99" s="5" t="str">
        <f>VLOOKUP($A99,'اطلاعات پرسنل'!$A$1:$AL$301,3,0)</f>
        <v>مرتضی</v>
      </c>
      <c r="E99" s="5" t="str">
        <f>VLOOKUP($A99,'اطلاعات پرسنل'!$A$1:$AL$111,4,0)</f>
        <v>آقایی</v>
      </c>
      <c r="F99" s="25">
        <f>VLOOKUP($A99,'اطلاعات پرسنل'!$A$1:$AL$511,34,0)</f>
        <v>4</v>
      </c>
      <c r="G99" s="19">
        <v>0</v>
      </c>
      <c r="H99" s="139">
        <f t="shared" si="59"/>
        <v>30.5</v>
      </c>
      <c r="I99" s="64">
        <f>VLOOKUP($A99,'اطلاعات پرسنل'!$A$1:$BW$111,21,0)</f>
        <v>0</v>
      </c>
      <c r="J99" s="64">
        <f>VLOOKUP($A99,'اطلاعات پرسنل'!$A$1:$BW$111,41,0)</f>
        <v>2299367.611</v>
      </c>
      <c r="K99" s="64">
        <v>0</v>
      </c>
      <c r="L99" s="64">
        <v>0</v>
      </c>
      <c r="M99" s="19">
        <v>0</v>
      </c>
      <c r="N99" s="64">
        <f t="shared" si="60"/>
        <v>0</v>
      </c>
      <c r="O99" s="19"/>
      <c r="P99" s="64">
        <f t="shared" si="79"/>
        <v>0</v>
      </c>
      <c r="Q99" s="64"/>
      <c r="R99" s="64"/>
      <c r="S99" s="64">
        <f t="shared" si="61"/>
        <v>0</v>
      </c>
      <c r="T99" s="64">
        <f t="shared" si="62"/>
        <v>0</v>
      </c>
      <c r="U99" s="64">
        <v>0</v>
      </c>
      <c r="V99" s="18">
        <f t="shared" si="63"/>
        <v>0</v>
      </c>
      <c r="W99" s="64">
        <v>40</v>
      </c>
      <c r="X99" s="18">
        <f t="shared" si="64"/>
        <v>17558807.291085489</v>
      </c>
      <c r="Y99" s="21">
        <v>0</v>
      </c>
      <c r="Z99" s="21">
        <f t="shared" si="65"/>
        <v>0</v>
      </c>
      <c r="AA99" s="21">
        <v>0</v>
      </c>
      <c r="AB99" s="21">
        <f t="shared" si="66"/>
        <v>0</v>
      </c>
      <c r="AC99" s="21"/>
      <c r="AD99" s="21">
        <f t="shared" si="67"/>
        <v>0</v>
      </c>
      <c r="AE99" s="21"/>
      <c r="AF99" s="21">
        <f t="shared" si="68"/>
        <v>0</v>
      </c>
      <c r="AG99" s="64">
        <f t="shared" si="69"/>
        <v>0</v>
      </c>
      <c r="AH99" s="64">
        <f t="shared" si="70"/>
        <v>9150000</v>
      </c>
      <c r="AI99" s="64">
        <f t="shared" si="71"/>
        <v>0</v>
      </c>
      <c r="AJ99" s="64">
        <f t="shared" si="72"/>
        <v>11183333.333333334</v>
      </c>
      <c r="AK99" s="64">
        <f t="shared" si="73"/>
        <v>0</v>
      </c>
      <c r="AL99" s="64">
        <f t="shared" si="74"/>
        <v>108022852.75991882</v>
      </c>
    </row>
    <row r="100" spans="1:38" ht="24" x14ac:dyDescent="0.2">
      <c r="A100" s="2">
        <v>1409</v>
      </c>
      <c r="B100" s="67">
        <f>VLOOKUP($A100,'اطلاعات پرسنل'!$A$1:$AL$501,28,0)</f>
        <v>2</v>
      </c>
      <c r="C100" s="4">
        <v>19</v>
      </c>
      <c r="D100" s="5" t="str">
        <f>VLOOKUP($A100,'اطلاعات پرسنل'!$A$1:$AL$301,3,0)</f>
        <v>عاطفه</v>
      </c>
      <c r="E100" s="5" t="str">
        <f>VLOOKUP($A100,'اطلاعات پرسنل'!$A$1:$AL$111,4,0)</f>
        <v>بهرامی</v>
      </c>
      <c r="F100" s="25">
        <f>VLOOKUP($A100,'اطلاعات پرسنل'!$A$1:$AL$511,34,0)</f>
        <v>2</v>
      </c>
      <c r="G100" s="19">
        <v>0</v>
      </c>
      <c r="H100" s="139">
        <f t="shared" si="59"/>
        <v>30.5</v>
      </c>
      <c r="I100" s="64">
        <f>VLOOKUP($A100,'اطلاعات پرسنل'!$A$1:$BW$111,21,0)</f>
        <v>0</v>
      </c>
      <c r="J100" s="64">
        <f>VLOOKUP($A100,'اطلاعات پرسنل'!$A$1:$BW$111,41,0)</f>
        <v>1924324.1036666667</v>
      </c>
      <c r="K100" s="64">
        <v>0</v>
      </c>
      <c r="L100" s="64">
        <v>0</v>
      </c>
      <c r="M100" s="19">
        <v>0</v>
      </c>
      <c r="N100" s="64">
        <f t="shared" si="60"/>
        <v>0</v>
      </c>
      <c r="O100" s="19"/>
      <c r="P100" s="64">
        <f t="shared" si="79"/>
        <v>0</v>
      </c>
      <c r="Q100" s="64"/>
      <c r="R100" s="64"/>
      <c r="S100" s="64">
        <f t="shared" si="61"/>
        <v>0</v>
      </c>
      <c r="T100" s="64">
        <f t="shared" si="62"/>
        <v>10793510.799999999</v>
      </c>
      <c r="U100" s="64">
        <v>0</v>
      </c>
      <c r="V100" s="18">
        <f t="shared" si="63"/>
        <v>0</v>
      </c>
      <c r="W100" s="64">
        <v>40</v>
      </c>
      <c r="X100" s="18">
        <f t="shared" si="64"/>
        <v>14694838.676612902</v>
      </c>
      <c r="Y100" s="21">
        <v>0</v>
      </c>
      <c r="Z100" s="21">
        <f t="shared" si="65"/>
        <v>0</v>
      </c>
      <c r="AA100" s="21">
        <v>0</v>
      </c>
      <c r="AB100" s="21">
        <f t="shared" si="66"/>
        <v>0</v>
      </c>
      <c r="AC100" s="21"/>
      <c r="AD100" s="21">
        <f t="shared" si="67"/>
        <v>0</v>
      </c>
      <c r="AE100" s="21"/>
      <c r="AF100" s="21">
        <f t="shared" si="68"/>
        <v>0</v>
      </c>
      <c r="AG100" s="64">
        <f t="shared" si="69"/>
        <v>0</v>
      </c>
      <c r="AH100" s="64">
        <f t="shared" si="70"/>
        <v>9150000</v>
      </c>
      <c r="AI100" s="64">
        <f t="shared" si="71"/>
        <v>0</v>
      </c>
      <c r="AJ100" s="64">
        <f t="shared" si="72"/>
        <v>11183333.333333334</v>
      </c>
      <c r="AK100" s="64">
        <f t="shared" si="73"/>
        <v>0</v>
      </c>
      <c r="AL100" s="64">
        <f t="shared" si="74"/>
        <v>104513567.97177956</v>
      </c>
    </row>
    <row r="101" spans="1:38" ht="24" x14ac:dyDescent="0.2">
      <c r="A101" s="2">
        <v>1410</v>
      </c>
      <c r="B101" s="67">
        <f>VLOOKUP($A101,'اطلاعات پرسنل'!$A$1:$AL$501,28,0)</f>
        <v>0</v>
      </c>
      <c r="C101" s="6">
        <v>20</v>
      </c>
      <c r="D101" s="5" t="str">
        <f>VLOOKUP($A101,'اطلاعات پرسنل'!$A$1:$AL$301,3,0)</f>
        <v>مهدی</v>
      </c>
      <c r="E101" s="5" t="str">
        <f>VLOOKUP($A101,'اطلاعات پرسنل'!$A$1:$AL$111,4,0)</f>
        <v>بهرامی</v>
      </c>
      <c r="F101" s="25" t="str">
        <f>VLOOKUP($A101,'اطلاعات پرسنل'!$A$1:$AL$511,34,0)</f>
        <v>7</v>
      </c>
      <c r="G101" s="19">
        <v>0</v>
      </c>
      <c r="H101" s="139">
        <f t="shared" si="59"/>
        <v>30.5</v>
      </c>
      <c r="I101" s="64">
        <f>VLOOKUP($A101,'اطلاعات پرسنل'!$A$1:$BW$111,21,0)</f>
        <v>0</v>
      </c>
      <c r="J101" s="64">
        <f>VLOOKUP($A101,'اطلاعات پرسنل'!$A$1:$BW$111,41,0)</f>
        <v>2261428.7480000001</v>
      </c>
      <c r="K101" s="64">
        <v>0</v>
      </c>
      <c r="L101" s="64">
        <v>0</v>
      </c>
      <c r="M101" s="19">
        <v>0</v>
      </c>
      <c r="N101" s="64">
        <f t="shared" si="60"/>
        <v>0</v>
      </c>
      <c r="O101" s="19"/>
      <c r="P101" s="64">
        <f t="shared" si="79"/>
        <v>0</v>
      </c>
      <c r="Q101" s="64"/>
      <c r="R101" s="64"/>
      <c r="S101" s="64">
        <f t="shared" si="61"/>
        <v>0</v>
      </c>
      <c r="T101" s="64">
        <f t="shared" si="62"/>
        <v>0</v>
      </c>
      <c r="U101" s="64">
        <v>0</v>
      </c>
      <c r="V101" s="18">
        <f t="shared" si="63"/>
        <v>0</v>
      </c>
      <c r="W101" s="64">
        <v>40</v>
      </c>
      <c r="X101" s="18">
        <f t="shared" si="64"/>
        <v>17269092.335950419</v>
      </c>
      <c r="Y101" s="21">
        <v>0</v>
      </c>
      <c r="Z101" s="21">
        <f t="shared" si="65"/>
        <v>0</v>
      </c>
      <c r="AA101" s="21">
        <v>0</v>
      </c>
      <c r="AB101" s="21">
        <f t="shared" si="66"/>
        <v>0</v>
      </c>
      <c r="AC101" s="21"/>
      <c r="AD101" s="21">
        <f t="shared" si="67"/>
        <v>0</v>
      </c>
      <c r="AE101" s="21"/>
      <c r="AF101" s="21">
        <f t="shared" si="68"/>
        <v>0</v>
      </c>
      <c r="AG101" s="64">
        <f t="shared" si="69"/>
        <v>0</v>
      </c>
      <c r="AH101" s="64">
        <f t="shared" si="70"/>
        <v>9150000</v>
      </c>
      <c r="AI101" s="64">
        <f t="shared" si="71"/>
        <v>0</v>
      </c>
      <c r="AJ101" s="64">
        <f t="shared" si="72"/>
        <v>11183333.333333334</v>
      </c>
      <c r="AK101" s="64">
        <f t="shared" si="73"/>
        <v>0</v>
      </c>
      <c r="AL101" s="64">
        <f t="shared" si="74"/>
        <v>106576002.48328376</v>
      </c>
    </row>
    <row r="102" spans="1:38" ht="24" x14ac:dyDescent="0.2">
      <c r="A102" s="2">
        <v>1412</v>
      </c>
      <c r="B102" s="67">
        <f>VLOOKUP($A102,'اطلاعات پرسنل'!$A$1:$AL$501,28,0)</f>
        <v>2</v>
      </c>
      <c r="C102" s="4">
        <v>21</v>
      </c>
      <c r="D102" s="5" t="str">
        <f>VLOOKUP($A102,'اطلاعات پرسنل'!$A$1:$AL$301,3,0)</f>
        <v>صمد</v>
      </c>
      <c r="E102" s="5" t="str">
        <f>VLOOKUP($A102,'اطلاعات پرسنل'!$A$1:$AL$111,4,0)</f>
        <v>توسلی</v>
      </c>
      <c r="F102" s="25">
        <f>VLOOKUP($A102,'اطلاعات پرسنل'!$A$1:$AL$511,34,0)</f>
        <v>4</v>
      </c>
      <c r="G102" s="19">
        <v>0</v>
      </c>
      <c r="H102" s="139">
        <f t="shared" si="59"/>
        <v>30.5</v>
      </c>
      <c r="I102" s="64">
        <f>VLOOKUP($A102,'اطلاعات پرسنل'!$A$1:$BW$111,21,0)</f>
        <v>0</v>
      </c>
      <c r="J102" s="64">
        <f>VLOOKUP($A102,'اطلاعات پرسنل'!$A$1:$BW$111,41,0)</f>
        <v>2337063.8703333335</v>
      </c>
      <c r="K102" s="64">
        <v>0</v>
      </c>
      <c r="L102" s="64">
        <v>0</v>
      </c>
      <c r="M102" s="19">
        <v>0</v>
      </c>
      <c r="N102" s="64">
        <f t="shared" si="60"/>
        <v>0</v>
      </c>
      <c r="O102" s="19"/>
      <c r="P102" s="64">
        <f t="shared" si="79"/>
        <v>0</v>
      </c>
      <c r="Q102" s="64"/>
      <c r="R102" s="64"/>
      <c r="S102" s="64">
        <f t="shared" si="61"/>
        <v>0</v>
      </c>
      <c r="T102" s="64">
        <f t="shared" si="62"/>
        <v>10793510.799999999</v>
      </c>
      <c r="U102" s="64">
        <v>0</v>
      </c>
      <c r="V102" s="18">
        <f t="shared" si="63"/>
        <v>0</v>
      </c>
      <c r="W102" s="64">
        <v>40</v>
      </c>
      <c r="X102" s="18">
        <f t="shared" si="64"/>
        <v>17846669.636393953</v>
      </c>
      <c r="Y102" s="21">
        <v>0</v>
      </c>
      <c r="Z102" s="21">
        <f t="shared" si="65"/>
        <v>0</v>
      </c>
      <c r="AA102" s="21">
        <v>0</v>
      </c>
      <c r="AB102" s="21">
        <f t="shared" si="66"/>
        <v>0</v>
      </c>
      <c r="AC102" s="21"/>
      <c r="AD102" s="21">
        <f t="shared" si="67"/>
        <v>0</v>
      </c>
      <c r="AE102" s="21"/>
      <c r="AF102" s="21">
        <f t="shared" si="68"/>
        <v>0</v>
      </c>
      <c r="AG102" s="64">
        <f t="shared" si="69"/>
        <v>0</v>
      </c>
      <c r="AH102" s="64">
        <f t="shared" si="70"/>
        <v>9150000</v>
      </c>
      <c r="AI102" s="64">
        <f t="shared" si="71"/>
        <v>0</v>
      </c>
      <c r="AJ102" s="64">
        <f t="shared" si="72"/>
        <v>11183333.333333334</v>
      </c>
      <c r="AK102" s="64">
        <f t="shared" si="73"/>
        <v>0</v>
      </c>
      <c r="AL102" s="64">
        <f t="shared" si="74"/>
        <v>120253961.81489395</v>
      </c>
    </row>
    <row r="103" spans="1:38" ht="24" x14ac:dyDescent="0.2">
      <c r="A103" s="2">
        <v>1413</v>
      </c>
      <c r="B103" s="67">
        <f>VLOOKUP($A103,'اطلاعات پرسنل'!$A$1:$AL$501,28,0)</f>
        <v>2</v>
      </c>
      <c r="C103" s="6">
        <v>22</v>
      </c>
      <c r="D103" s="5" t="str">
        <f>VLOOKUP($A103,'اطلاعات پرسنل'!$A$1:$AL$301,3,0)</f>
        <v>حسن</v>
      </c>
      <c r="E103" s="5" t="str">
        <f>VLOOKUP($A103,'اطلاعات پرسنل'!$A$1:$AL$111,4,0)</f>
        <v>جعفری کشتکدشتی</v>
      </c>
      <c r="F103" s="25">
        <f>VLOOKUP($A103,'اطلاعات پرسنل'!$A$1:$AL$511,34,0)</f>
        <v>6</v>
      </c>
      <c r="G103" s="19">
        <v>0</v>
      </c>
      <c r="H103" s="139">
        <f t="shared" si="59"/>
        <v>30.5</v>
      </c>
      <c r="I103" s="64">
        <f>VLOOKUP($A103,'اطلاعات پرسنل'!$A$1:$BW$111,21,0)</f>
        <v>0</v>
      </c>
      <c r="J103" s="64">
        <f>VLOOKUP($A103,'اطلاعات پرسنل'!$A$1:$BW$111,41,0)</f>
        <v>2261228.7480000001</v>
      </c>
      <c r="K103" s="64">
        <v>0</v>
      </c>
      <c r="L103" s="64">
        <v>0</v>
      </c>
      <c r="M103" s="19">
        <v>0</v>
      </c>
      <c r="N103" s="64">
        <f t="shared" si="60"/>
        <v>0</v>
      </c>
      <c r="O103" s="19">
        <f>H103</f>
        <v>30.5</v>
      </c>
      <c r="P103" s="64">
        <f>J103*15%*O103</f>
        <v>10345121.5221</v>
      </c>
      <c r="Q103" s="64"/>
      <c r="R103" s="64"/>
      <c r="S103" s="64">
        <f t="shared" si="61"/>
        <v>0</v>
      </c>
      <c r="T103" s="64">
        <f t="shared" si="62"/>
        <v>10793510.799999999</v>
      </c>
      <c r="U103" s="64">
        <v>0</v>
      </c>
      <c r="V103" s="18">
        <f t="shared" si="63"/>
        <v>0</v>
      </c>
      <c r="W103" s="64">
        <v>60</v>
      </c>
      <c r="X103" s="18">
        <f t="shared" si="64"/>
        <v>25901347.59482431</v>
      </c>
      <c r="Y103" s="21">
        <v>0</v>
      </c>
      <c r="Z103" s="21">
        <f t="shared" si="65"/>
        <v>0</v>
      </c>
      <c r="AA103" s="21">
        <v>0</v>
      </c>
      <c r="AB103" s="21">
        <f t="shared" si="66"/>
        <v>0</v>
      </c>
      <c r="AC103" s="21"/>
      <c r="AD103" s="21">
        <f t="shared" si="67"/>
        <v>0</v>
      </c>
      <c r="AE103" s="21"/>
      <c r="AF103" s="21">
        <f t="shared" si="68"/>
        <v>0</v>
      </c>
      <c r="AG103" s="64">
        <f t="shared" si="69"/>
        <v>0</v>
      </c>
      <c r="AH103" s="64">
        <f t="shared" si="70"/>
        <v>9150000</v>
      </c>
      <c r="AI103" s="64">
        <f t="shared" si="71"/>
        <v>0</v>
      </c>
      <c r="AJ103" s="64">
        <f t="shared" si="72"/>
        <v>11183333.333333334</v>
      </c>
      <c r="AK103" s="64">
        <f t="shared" si="73"/>
        <v>0</v>
      </c>
      <c r="AL103" s="64">
        <f t="shared" si="74"/>
        <v>136340790.06425765</v>
      </c>
    </row>
    <row r="104" spans="1:38" ht="24" x14ac:dyDescent="0.2">
      <c r="A104" s="2">
        <v>1418</v>
      </c>
      <c r="B104" s="67">
        <f>VLOOKUP($A104,'اطلاعات پرسنل'!$A$1:$AL$501,28,0)</f>
        <v>2</v>
      </c>
      <c r="C104" s="4">
        <v>23</v>
      </c>
      <c r="D104" s="5" t="str">
        <f>VLOOKUP($A104,'اطلاعات پرسنل'!$A$1:$AL$301,3,0)</f>
        <v>مهدی</v>
      </c>
      <c r="E104" s="5" t="str">
        <f>VLOOKUP($A104,'اطلاعات پرسنل'!$A$1:$AL$111,4,0)</f>
        <v>حسین پور</v>
      </c>
      <c r="F104" s="25">
        <f>VLOOKUP($A104,'اطلاعات پرسنل'!$A$1:$AL$511,34,0)</f>
        <v>7</v>
      </c>
      <c r="G104" s="19">
        <v>0</v>
      </c>
      <c r="H104" s="139">
        <f t="shared" si="59"/>
        <v>30.5</v>
      </c>
      <c r="I104" s="64">
        <f>VLOOKUP($A104,'اطلاعات پرسنل'!$A$1:$BW$111,21,0)</f>
        <v>0</v>
      </c>
      <c r="J104" s="64">
        <f>VLOOKUP($A104,'اطلاعات پرسنل'!$A$1:$BW$111,41,0)</f>
        <v>2073379.3810000001</v>
      </c>
      <c r="K104" s="64">
        <v>0</v>
      </c>
      <c r="L104" s="64">
        <v>0</v>
      </c>
      <c r="M104" s="19">
        <v>0</v>
      </c>
      <c r="N104" s="64">
        <f t="shared" si="60"/>
        <v>0</v>
      </c>
      <c r="O104" s="19"/>
      <c r="P104" s="64">
        <f>K104*22.5%*O104</f>
        <v>0</v>
      </c>
      <c r="Q104" s="64"/>
      <c r="R104" s="64"/>
      <c r="S104" s="64">
        <f t="shared" si="61"/>
        <v>0</v>
      </c>
      <c r="T104" s="64">
        <f t="shared" si="62"/>
        <v>10793510.799999999</v>
      </c>
      <c r="U104" s="64">
        <v>0</v>
      </c>
      <c r="V104" s="18">
        <f t="shared" si="63"/>
        <v>0</v>
      </c>
      <c r="W104" s="64">
        <v>40</v>
      </c>
      <c r="X104" s="18">
        <f t="shared" si="64"/>
        <v>15833078.981423084</v>
      </c>
      <c r="Y104" s="21">
        <v>0</v>
      </c>
      <c r="Z104" s="21">
        <f t="shared" si="65"/>
        <v>0</v>
      </c>
      <c r="AA104" s="21">
        <v>0</v>
      </c>
      <c r="AB104" s="21">
        <f t="shared" si="66"/>
        <v>0</v>
      </c>
      <c r="AC104" s="21"/>
      <c r="AD104" s="21">
        <f t="shared" si="67"/>
        <v>0</v>
      </c>
      <c r="AE104" s="21"/>
      <c r="AF104" s="21">
        <f t="shared" si="68"/>
        <v>0</v>
      </c>
      <c r="AG104" s="64">
        <f t="shared" si="69"/>
        <v>0</v>
      </c>
      <c r="AH104" s="64">
        <f t="shared" si="70"/>
        <v>9150000</v>
      </c>
      <c r="AI104" s="64">
        <f t="shared" si="71"/>
        <v>0</v>
      </c>
      <c r="AJ104" s="64">
        <f t="shared" si="72"/>
        <v>11183333.333333334</v>
      </c>
      <c r="AK104" s="64">
        <f t="shared" si="73"/>
        <v>0</v>
      </c>
      <c r="AL104" s="64">
        <f t="shared" si="74"/>
        <v>110197994.2352564</v>
      </c>
    </row>
    <row r="105" spans="1:38" ht="24" x14ac:dyDescent="0.2">
      <c r="A105" s="2">
        <v>1419</v>
      </c>
      <c r="B105" s="67">
        <f>VLOOKUP($A105,'اطلاعات پرسنل'!$A$1:$AL$501,28,0)</f>
        <v>2</v>
      </c>
      <c r="C105" s="6">
        <v>24</v>
      </c>
      <c r="D105" s="5" t="str">
        <f>VLOOKUP($A105,'اطلاعات پرسنل'!$A$1:$AL$301,3,0)</f>
        <v>شهریار</v>
      </c>
      <c r="E105" s="5" t="str">
        <f>VLOOKUP($A105,'اطلاعات پرسنل'!$A$1:$AL$111,4,0)</f>
        <v>حسینی</v>
      </c>
      <c r="F105" s="25">
        <f>VLOOKUP($A105,'اطلاعات پرسنل'!$A$1:$AL$511,34,0)</f>
        <v>4</v>
      </c>
      <c r="G105" s="19">
        <v>0</v>
      </c>
      <c r="H105" s="139">
        <f t="shared" si="59"/>
        <v>30.5</v>
      </c>
      <c r="I105" s="64">
        <f>VLOOKUP($A105,'اطلاعات پرسنل'!$A$1:$BW$111,21,0)</f>
        <v>0</v>
      </c>
      <c r="J105" s="64">
        <f>VLOOKUP($A105,'اطلاعات پرسنل'!$A$1:$BW$111,41,0)</f>
        <v>2227024.0906666666</v>
      </c>
      <c r="K105" s="64">
        <v>0</v>
      </c>
      <c r="L105" s="64">
        <v>0</v>
      </c>
      <c r="M105" s="19">
        <v>0</v>
      </c>
      <c r="N105" s="64">
        <f t="shared" si="60"/>
        <v>0</v>
      </c>
      <c r="O105" s="19"/>
      <c r="P105" s="64">
        <f>K105*22.5%*O105</f>
        <v>0</v>
      </c>
      <c r="Q105" s="64"/>
      <c r="R105" s="64"/>
      <c r="S105" s="64">
        <f t="shared" si="61"/>
        <v>0</v>
      </c>
      <c r="T105" s="64">
        <f t="shared" si="62"/>
        <v>10793510.799999999</v>
      </c>
      <c r="U105" s="64">
        <v>0</v>
      </c>
      <c r="V105" s="18">
        <f t="shared" si="63"/>
        <v>0</v>
      </c>
      <c r="W105" s="64">
        <v>40</v>
      </c>
      <c r="X105" s="18">
        <f t="shared" si="64"/>
        <v>17006365.860574391</v>
      </c>
      <c r="Y105" s="21">
        <v>0</v>
      </c>
      <c r="Z105" s="21">
        <f t="shared" si="65"/>
        <v>0</v>
      </c>
      <c r="AA105" s="21">
        <v>0</v>
      </c>
      <c r="AB105" s="21">
        <f t="shared" si="66"/>
        <v>0</v>
      </c>
      <c r="AC105" s="21"/>
      <c r="AD105" s="21">
        <f t="shared" si="67"/>
        <v>0</v>
      </c>
      <c r="AE105" s="21"/>
      <c r="AF105" s="21">
        <f t="shared" si="68"/>
        <v>0</v>
      </c>
      <c r="AG105" s="64">
        <f t="shared" si="69"/>
        <v>0</v>
      </c>
      <c r="AH105" s="64">
        <f t="shared" si="70"/>
        <v>9150000</v>
      </c>
      <c r="AI105" s="64">
        <f t="shared" si="71"/>
        <v>0</v>
      </c>
      <c r="AJ105" s="64">
        <f t="shared" si="72"/>
        <v>11183333.333333334</v>
      </c>
      <c r="AK105" s="64">
        <f t="shared" si="73"/>
        <v>0</v>
      </c>
      <c r="AL105" s="64">
        <f t="shared" si="74"/>
        <v>116057444.75924104</v>
      </c>
    </row>
    <row r="106" spans="1:38" ht="24" x14ac:dyDescent="0.2">
      <c r="A106" s="2">
        <v>1422</v>
      </c>
      <c r="B106" s="67">
        <f>VLOOKUP($A106,'اطلاعات پرسنل'!$A$1:$AL$501,28,0)</f>
        <v>0</v>
      </c>
      <c r="C106" s="4">
        <v>25</v>
      </c>
      <c r="D106" s="5" t="str">
        <f>VLOOKUP($A106,'اطلاعات پرسنل'!$A$1:$AL$301,3,0)</f>
        <v>علیرضا</v>
      </c>
      <c r="E106" s="5" t="str">
        <f>VLOOKUP($A106,'اطلاعات پرسنل'!$A$1:$AL$111,4,0)</f>
        <v>خواجه وند</v>
      </c>
      <c r="F106" s="25">
        <f>VLOOKUP($A106,'اطلاعات پرسنل'!$A$1:$AL$511,34,0)</f>
        <v>6</v>
      </c>
      <c r="G106" s="19">
        <v>0</v>
      </c>
      <c r="H106" s="139">
        <f t="shared" si="59"/>
        <v>30.5</v>
      </c>
      <c r="I106" s="64">
        <f>VLOOKUP($A106,'اطلاعات پرسنل'!$A$1:$BW$111,21,0)</f>
        <v>0</v>
      </c>
      <c r="J106" s="64">
        <f>VLOOKUP($A106,'اطلاعات پرسنل'!$A$1:$BW$111,41,0)</f>
        <v>2176111.9836666668</v>
      </c>
      <c r="K106" s="64">
        <v>0</v>
      </c>
      <c r="L106" s="64">
        <v>0</v>
      </c>
      <c r="M106" s="19">
        <v>0</v>
      </c>
      <c r="N106" s="64">
        <f t="shared" si="60"/>
        <v>0</v>
      </c>
      <c r="O106" s="19">
        <f>H106</f>
        <v>30.5</v>
      </c>
      <c r="P106" s="64">
        <f>J106*15%*O106</f>
        <v>9955712.3252750002</v>
      </c>
      <c r="Q106" s="64"/>
      <c r="R106" s="64"/>
      <c r="S106" s="64">
        <f t="shared" si="61"/>
        <v>0</v>
      </c>
      <c r="T106" s="64">
        <f t="shared" si="62"/>
        <v>0</v>
      </c>
      <c r="U106" s="64">
        <v>0</v>
      </c>
      <c r="V106" s="18">
        <f t="shared" si="63"/>
        <v>0</v>
      </c>
      <c r="W106" s="64">
        <v>60</v>
      </c>
      <c r="X106" s="18">
        <f t="shared" si="64"/>
        <v>24926373.744392611</v>
      </c>
      <c r="Y106" s="21">
        <v>0</v>
      </c>
      <c r="Z106" s="21">
        <f t="shared" si="65"/>
        <v>0</v>
      </c>
      <c r="AA106" s="21">
        <v>0</v>
      </c>
      <c r="AB106" s="21">
        <f t="shared" si="66"/>
        <v>0</v>
      </c>
      <c r="AC106" s="21"/>
      <c r="AD106" s="21">
        <f t="shared" si="67"/>
        <v>0</v>
      </c>
      <c r="AE106" s="21"/>
      <c r="AF106" s="21">
        <f t="shared" si="68"/>
        <v>0</v>
      </c>
      <c r="AG106" s="64">
        <f t="shared" si="69"/>
        <v>0</v>
      </c>
      <c r="AH106" s="64">
        <f t="shared" si="70"/>
        <v>9150000</v>
      </c>
      <c r="AI106" s="64">
        <f t="shared" si="71"/>
        <v>0</v>
      </c>
      <c r="AJ106" s="64">
        <f t="shared" si="72"/>
        <v>11183333.333333334</v>
      </c>
      <c r="AK106" s="64">
        <f t="shared" si="73"/>
        <v>0</v>
      </c>
      <c r="AL106" s="64">
        <f t="shared" si="74"/>
        <v>121586834.90483429</v>
      </c>
    </row>
    <row r="107" spans="1:38" ht="24" x14ac:dyDescent="0.2">
      <c r="A107" s="2">
        <v>1423</v>
      </c>
      <c r="B107" s="67">
        <f>VLOOKUP($A107,'اطلاعات پرسنل'!$A$1:$AL$501,28,0)</f>
        <v>1</v>
      </c>
      <c r="C107" s="6">
        <v>26</v>
      </c>
      <c r="D107" s="5" t="str">
        <f>VLOOKUP($A107,'اطلاعات پرسنل'!$A$1:$AL$301,3,0)</f>
        <v>سعید</v>
      </c>
      <c r="E107" s="5" t="str">
        <f>VLOOKUP($A107,'اطلاعات پرسنل'!$A$1:$AL$111,4,0)</f>
        <v>درودگران</v>
      </c>
      <c r="F107" s="25" t="str">
        <f>VLOOKUP($A107,'اطلاعات پرسنل'!$A$1:$AL$511,34,0)</f>
        <v>7</v>
      </c>
      <c r="G107" s="19">
        <v>0</v>
      </c>
      <c r="H107" s="139">
        <f t="shared" si="59"/>
        <v>30.5</v>
      </c>
      <c r="I107" s="64">
        <f>VLOOKUP($A107,'اطلاعات پرسنل'!$A$1:$BW$111,21,0)</f>
        <v>0</v>
      </c>
      <c r="J107" s="64">
        <f>VLOOKUP($A107,'اطلاعات پرسنل'!$A$1:$BW$111,41,0)</f>
        <v>2299967.611</v>
      </c>
      <c r="K107" s="64">
        <v>0</v>
      </c>
      <c r="L107" s="64">
        <v>0</v>
      </c>
      <c r="M107" s="19">
        <v>0</v>
      </c>
      <c r="N107" s="64">
        <f t="shared" si="60"/>
        <v>0</v>
      </c>
      <c r="O107" s="19"/>
      <c r="P107" s="64">
        <f>K107*22.5%*O107</f>
        <v>0</v>
      </c>
      <c r="Q107" s="64"/>
      <c r="R107" s="64"/>
      <c r="S107" s="64">
        <f t="shared" si="61"/>
        <v>0</v>
      </c>
      <c r="T107" s="64">
        <f t="shared" si="62"/>
        <v>5396755.3999999994</v>
      </c>
      <c r="U107" s="64">
        <v>0</v>
      </c>
      <c r="V107" s="18">
        <f t="shared" si="63"/>
        <v>0</v>
      </c>
      <c r="W107" s="64">
        <v>40</v>
      </c>
      <c r="X107" s="18">
        <f t="shared" si="64"/>
        <v>17563389.109288134</v>
      </c>
      <c r="Y107" s="21">
        <v>0</v>
      </c>
      <c r="Z107" s="21">
        <f t="shared" si="65"/>
        <v>0</v>
      </c>
      <c r="AA107" s="21">
        <v>0</v>
      </c>
      <c r="AB107" s="21">
        <f t="shared" si="66"/>
        <v>0</v>
      </c>
      <c r="AC107" s="21"/>
      <c r="AD107" s="21">
        <f t="shared" si="67"/>
        <v>0</v>
      </c>
      <c r="AE107" s="21"/>
      <c r="AF107" s="21">
        <f t="shared" si="68"/>
        <v>0</v>
      </c>
      <c r="AG107" s="64">
        <f t="shared" si="69"/>
        <v>0</v>
      </c>
      <c r="AH107" s="64">
        <f t="shared" si="70"/>
        <v>9150000</v>
      </c>
      <c r="AI107" s="64">
        <f t="shared" si="71"/>
        <v>0</v>
      </c>
      <c r="AJ107" s="64">
        <f t="shared" si="72"/>
        <v>11183333.333333334</v>
      </c>
      <c r="AK107" s="64">
        <f t="shared" si="73"/>
        <v>0</v>
      </c>
      <c r="AL107" s="64">
        <f t="shared" si="74"/>
        <v>113442489.97812147</v>
      </c>
    </row>
    <row r="108" spans="1:38" ht="24" x14ac:dyDescent="0.2">
      <c r="A108" s="2">
        <v>1424</v>
      </c>
      <c r="B108" s="67">
        <f>VLOOKUP($A108,'اطلاعات پرسنل'!$A$1:$AL$501,28,0)</f>
        <v>0</v>
      </c>
      <c r="C108" s="4">
        <v>27</v>
      </c>
      <c r="D108" s="5" t="str">
        <f>VLOOKUP($A108,'اطلاعات پرسنل'!$A$1:$AL$301,3,0)</f>
        <v>الهه</v>
      </c>
      <c r="E108" s="5" t="str">
        <f>VLOOKUP($A108,'اطلاعات پرسنل'!$A$1:$AL$111,4,0)</f>
        <v xml:space="preserve">ربیع </v>
      </c>
      <c r="F108" s="25">
        <f>VLOOKUP($A108,'اطلاعات پرسنل'!$A$1:$AL$511,34,0)</f>
        <v>13</v>
      </c>
      <c r="G108" s="19">
        <v>0</v>
      </c>
      <c r="H108" s="139">
        <f t="shared" si="59"/>
        <v>30.5</v>
      </c>
      <c r="I108" s="64">
        <f>VLOOKUP($A108,'اطلاعات پرسنل'!$A$1:$BW$111,21,0)</f>
        <v>0</v>
      </c>
      <c r="J108" s="64">
        <f>VLOOKUP($A108,'اطلاعات پرسنل'!$A$1:$BW$111,41,0)</f>
        <v>2263028.7480000001</v>
      </c>
      <c r="K108" s="64">
        <v>0</v>
      </c>
      <c r="L108" s="64">
        <v>0</v>
      </c>
      <c r="M108" s="19">
        <v>0</v>
      </c>
      <c r="N108" s="64">
        <f t="shared" si="60"/>
        <v>0</v>
      </c>
      <c r="O108" s="19"/>
      <c r="P108" s="64">
        <f>K108*22.5%*O108</f>
        <v>0</v>
      </c>
      <c r="Q108" s="64"/>
      <c r="R108" s="64"/>
      <c r="S108" s="64">
        <f t="shared" si="61"/>
        <v>0</v>
      </c>
      <c r="T108" s="64">
        <f t="shared" si="62"/>
        <v>0</v>
      </c>
      <c r="U108" s="64">
        <v>0</v>
      </c>
      <c r="V108" s="18">
        <f t="shared" si="63"/>
        <v>0</v>
      </c>
      <c r="W108" s="64">
        <v>80</v>
      </c>
      <c r="X108" s="18">
        <f t="shared" si="64"/>
        <v>34562621.035648279</v>
      </c>
      <c r="Y108" s="21">
        <v>0</v>
      </c>
      <c r="Z108" s="21">
        <f t="shared" si="65"/>
        <v>0</v>
      </c>
      <c r="AA108" s="21">
        <v>0</v>
      </c>
      <c r="AB108" s="21">
        <f t="shared" si="66"/>
        <v>0</v>
      </c>
      <c r="AC108" s="21"/>
      <c r="AD108" s="21">
        <f t="shared" si="67"/>
        <v>0</v>
      </c>
      <c r="AE108" s="21"/>
      <c r="AF108" s="21">
        <f t="shared" si="68"/>
        <v>0</v>
      </c>
      <c r="AG108" s="64">
        <f t="shared" si="69"/>
        <v>0</v>
      </c>
      <c r="AH108" s="64">
        <f t="shared" si="70"/>
        <v>9150000</v>
      </c>
      <c r="AI108" s="64">
        <f t="shared" si="71"/>
        <v>0</v>
      </c>
      <c r="AJ108" s="64">
        <f t="shared" si="72"/>
        <v>11183333.333333334</v>
      </c>
      <c r="AK108" s="64">
        <f t="shared" si="73"/>
        <v>0</v>
      </c>
      <c r="AL108" s="64">
        <f t="shared" si="74"/>
        <v>123918331.18298163</v>
      </c>
    </row>
    <row r="109" spans="1:38" ht="24" x14ac:dyDescent="0.2">
      <c r="A109" s="2">
        <v>1425</v>
      </c>
      <c r="B109" s="67">
        <f>VLOOKUP($A109,'اطلاعات پرسنل'!$A$1:$AL$501,28,0)</f>
        <v>2</v>
      </c>
      <c r="C109" s="6">
        <v>28</v>
      </c>
      <c r="D109" s="5" t="str">
        <f>VLOOKUP($A109,'اطلاعات پرسنل'!$A$1:$AL$301,3,0)</f>
        <v>مظفر</v>
      </c>
      <c r="E109" s="5" t="str">
        <f>VLOOKUP($A109,'اطلاعات پرسنل'!$A$1:$AL$111,4,0)</f>
        <v>رشوند</v>
      </c>
      <c r="F109" s="25">
        <f>VLOOKUP($A109,'اطلاعات پرسنل'!$A$1:$AL$511,34,0)</f>
        <v>7</v>
      </c>
      <c r="G109" s="19">
        <v>0</v>
      </c>
      <c r="H109" s="139">
        <f t="shared" si="59"/>
        <v>30.5</v>
      </c>
      <c r="I109" s="64">
        <f>VLOOKUP($A109,'اطلاعات پرسنل'!$A$1:$BW$111,21,0)</f>
        <v>0</v>
      </c>
      <c r="J109" s="64">
        <f>VLOOKUP($A109,'اطلاعات پرسنل'!$A$1:$BW$111,41,0)</f>
        <v>2299967.611</v>
      </c>
      <c r="K109" s="64">
        <v>0</v>
      </c>
      <c r="L109" s="64">
        <v>0</v>
      </c>
      <c r="M109" s="19">
        <v>0</v>
      </c>
      <c r="N109" s="64">
        <f t="shared" si="60"/>
        <v>0</v>
      </c>
      <c r="O109" s="19"/>
      <c r="P109" s="64">
        <f>K109*22.5%*O109</f>
        <v>0</v>
      </c>
      <c r="Q109" s="64"/>
      <c r="R109" s="64"/>
      <c r="S109" s="64">
        <f t="shared" si="61"/>
        <v>0</v>
      </c>
      <c r="T109" s="64">
        <f t="shared" si="62"/>
        <v>10793510.799999999</v>
      </c>
      <c r="U109" s="64">
        <v>0</v>
      </c>
      <c r="V109" s="18">
        <f t="shared" si="63"/>
        <v>0</v>
      </c>
      <c r="W109" s="64">
        <v>40</v>
      </c>
      <c r="X109" s="18">
        <f t="shared" si="64"/>
        <v>17563389.109288134</v>
      </c>
      <c r="Y109" s="21">
        <v>0</v>
      </c>
      <c r="Z109" s="21">
        <f t="shared" si="65"/>
        <v>0</v>
      </c>
      <c r="AA109" s="21">
        <v>0</v>
      </c>
      <c r="AB109" s="21">
        <f t="shared" si="66"/>
        <v>0</v>
      </c>
      <c r="AC109" s="21"/>
      <c r="AD109" s="21">
        <f t="shared" si="67"/>
        <v>0</v>
      </c>
      <c r="AE109" s="21"/>
      <c r="AF109" s="21">
        <f t="shared" si="68"/>
        <v>0</v>
      </c>
      <c r="AG109" s="64">
        <f t="shared" si="69"/>
        <v>0</v>
      </c>
      <c r="AH109" s="64">
        <f t="shared" si="70"/>
        <v>9150000</v>
      </c>
      <c r="AI109" s="64">
        <f t="shared" si="71"/>
        <v>0</v>
      </c>
      <c r="AJ109" s="64">
        <f t="shared" si="72"/>
        <v>11183333.333333334</v>
      </c>
      <c r="AK109" s="64">
        <f t="shared" si="73"/>
        <v>0</v>
      </c>
      <c r="AL109" s="64">
        <f t="shared" si="74"/>
        <v>118839245.37812145</v>
      </c>
    </row>
    <row r="110" spans="1:38" ht="24" x14ac:dyDescent="0.2">
      <c r="A110" s="2">
        <v>1428</v>
      </c>
      <c r="B110" s="67">
        <f>VLOOKUP($A110,'اطلاعات پرسنل'!$A$1:$AL$501,28,0)</f>
        <v>3</v>
      </c>
      <c r="C110" s="4">
        <v>29</v>
      </c>
      <c r="D110" s="5" t="str">
        <f>VLOOKUP($A110,'اطلاعات پرسنل'!$A$1:$AL$301,3,0)</f>
        <v>علی اصغر</v>
      </c>
      <c r="E110" s="5" t="str">
        <f>VLOOKUP($A110,'اطلاعات پرسنل'!$A$1:$AL$111,4,0)</f>
        <v>سلیمی</v>
      </c>
      <c r="F110" s="25">
        <f>VLOOKUP($A110,'اطلاعات پرسنل'!$A$1:$AL$511,34,0)</f>
        <v>4</v>
      </c>
      <c r="G110" s="19">
        <v>0</v>
      </c>
      <c r="H110" s="139">
        <f t="shared" si="59"/>
        <v>30.5</v>
      </c>
      <c r="I110" s="64">
        <f>VLOOKUP($A110,'اطلاعات پرسنل'!$A$1:$BW$111,21,0)</f>
        <v>0</v>
      </c>
      <c r="J110" s="64">
        <f>VLOOKUP($A110,'اطلاعات پرسنل'!$A$1:$BW$111,41,0)</f>
        <v>2337063.8703333335</v>
      </c>
      <c r="K110" s="64">
        <v>0</v>
      </c>
      <c r="L110" s="64">
        <v>0</v>
      </c>
      <c r="M110" s="19">
        <v>0</v>
      </c>
      <c r="N110" s="64">
        <f t="shared" si="60"/>
        <v>0</v>
      </c>
      <c r="O110" s="19"/>
      <c r="P110" s="64">
        <f>K110*22.5%*O110</f>
        <v>0</v>
      </c>
      <c r="Q110" s="64"/>
      <c r="R110" s="64"/>
      <c r="S110" s="64">
        <f t="shared" si="61"/>
        <v>0</v>
      </c>
      <c r="T110" s="64">
        <f t="shared" si="62"/>
        <v>16190266.200000001</v>
      </c>
      <c r="U110" s="64">
        <v>0</v>
      </c>
      <c r="V110" s="18">
        <f t="shared" si="63"/>
        <v>0</v>
      </c>
      <c r="W110" s="64">
        <v>40</v>
      </c>
      <c r="X110" s="18">
        <f t="shared" si="64"/>
        <v>17846669.636393953</v>
      </c>
      <c r="Y110" s="21">
        <v>0</v>
      </c>
      <c r="Z110" s="21">
        <f t="shared" si="65"/>
        <v>0</v>
      </c>
      <c r="AA110" s="21">
        <v>0</v>
      </c>
      <c r="AB110" s="21">
        <f t="shared" si="66"/>
        <v>0</v>
      </c>
      <c r="AC110" s="21"/>
      <c r="AD110" s="21">
        <f t="shared" si="67"/>
        <v>0</v>
      </c>
      <c r="AE110" s="21"/>
      <c r="AF110" s="21">
        <f t="shared" si="68"/>
        <v>0</v>
      </c>
      <c r="AG110" s="64">
        <f t="shared" si="69"/>
        <v>0</v>
      </c>
      <c r="AH110" s="64">
        <f t="shared" si="70"/>
        <v>9150000</v>
      </c>
      <c r="AI110" s="64">
        <f t="shared" si="71"/>
        <v>0</v>
      </c>
      <c r="AJ110" s="64">
        <f t="shared" si="72"/>
        <v>11183333.333333334</v>
      </c>
      <c r="AK110" s="64">
        <f t="shared" si="73"/>
        <v>0</v>
      </c>
      <c r="AL110" s="64">
        <f t="shared" si="74"/>
        <v>125650717.21489395</v>
      </c>
    </row>
    <row r="111" spans="1:38" ht="24" x14ac:dyDescent="0.2">
      <c r="A111" s="2">
        <v>1430</v>
      </c>
      <c r="B111" s="67">
        <f>VLOOKUP($A111,'اطلاعات پرسنل'!$A$1:$AL$501,28,0)</f>
        <v>2</v>
      </c>
      <c r="C111" s="6">
        <v>30</v>
      </c>
      <c r="D111" s="5" t="str">
        <f>VLOOKUP($A111,'اطلاعات پرسنل'!$A$1:$AL$301,3,0)</f>
        <v>مهدی</v>
      </c>
      <c r="E111" s="5" t="str">
        <f>VLOOKUP($A111,'اطلاعات پرسنل'!$A$1:$AL$111,4,0)</f>
        <v>صفری حسین پور</v>
      </c>
      <c r="F111" s="25">
        <f>VLOOKUP($A111,'اطلاعات پرسنل'!$A$1:$AL$511,34,0)</f>
        <v>4</v>
      </c>
      <c r="G111" s="19">
        <v>0</v>
      </c>
      <c r="H111" s="139">
        <f t="shared" si="59"/>
        <v>30.5</v>
      </c>
      <c r="I111" s="64">
        <f>VLOOKUP($A111,'اطلاعات پرسنل'!$A$1:$BW$111,21,0)</f>
        <v>0</v>
      </c>
      <c r="J111" s="64">
        <f>VLOOKUP($A111,'اطلاعات پرسنل'!$A$1:$BW$111,41,0)</f>
        <v>2337063.8703333335</v>
      </c>
      <c r="K111" s="64">
        <v>0</v>
      </c>
      <c r="L111" s="64">
        <v>0</v>
      </c>
      <c r="M111" s="19">
        <v>0</v>
      </c>
      <c r="N111" s="64">
        <f t="shared" si="60"/>
        <v>0</v>
      </c>
      <c r="O111" s="19"/>
      <c r="P111" s="64">
        <f>K111*22.5%*O111</f>
        <v>0</v>
      </c>
      <c r="Q111" s="64"/>
      <c r="R111" s="64"/>
      <c r="S111" s="64">
        <f t="shared" si="61"/>
        <v>0</v>
      </c>
      <c r="T111" s="64">
        <f t="shared" si="62"/>
        <v>10793510.799999999</v>
      </c>
      <c r="U111" s="64">
        <v>0</v>
      </c>
      <c r="V111" s="18">
        <f t="shared" si="63"/>
        <v>0</v>
      </c>
      <c r="W111" s="64">
        <v>40</v>
      </c>
      <c r="X111" s="18">
        <f t="shared" si="64"/>
        <v>17846669.636393953</v>
      </c>
      <c r="Y111" s="21">
        <v>0</v>
      </c>
      <c r="Z111" s="21">
        <f t="shared" si="65"/>
        <v>0</v>
      </c>
      <c r="AA111" s="21">
        <v>0</v>
      </c>
      <c r="AB111" s="21">
        <f t="shared" si="66"/>
        <v>0</v>
      </c>
      <c r="AC111" s="21"/>
      <c r="AD111" s="21">
        <f t="shared" si="67"/>
        <v>0</v>
      </c>
      <c r="AE111" s="21"/>
      <c r="AF111" s="21">
        <f t="shared" si="68"/>
        <v>0</v>
      </c>
      <c r="AG111" s="64">
        <f t="shared" si="69"/>
        <v>0</v>
      </c>
      <c r="AH111" s="64">
        <f t="shared" si="70"/>
        <v>9150000</v>
      </c>
      <c r="AI111" s="64">
        <f t="shared" si="71"/>
        <v>0</v>
      </c>
      <c r="AJ111" s="64">
        <f t="shared" si="72"/>
        <v>11183333.333333334</v>
      </c>
      <c r="AK111" s="64">
        <f t="shared" si="73"/>
        <v>0</v>
      </c>
      <c r="AL111" s="64">
        <f t="shared" si="74"/>
        <v>120253961.81489395</v>
      </c>
    </row>
    <row r="112" spans="1:38" ht="24" x14ac:dyDescent="0.2">
      <c r="A112" s="2">
        <v>1432</v>
      </c>
      <c r="B112" s="67">
        <f>VLOOKUP($A112,'اطلاعات پرسنل'!$A$1:$AL$501,28,0)</f>
        <v>1</v>
      </c>
      <c r="C112" s="4">
        <v>31</v>
      </c>
      <c r="D112" s="5" t="str">
        <f>VLOOKUP($A112,'اطلاعات پرسنل'!$A$1:$AL$301,3,0)</f>
        <v>حمید</v>
      </c>
      <c r="E112" s="5" t="str">
        <f>VLOOKUP($A112,'اطلاعات پرسنل'!$A$1:$AL$111,4,0)</f>
        <v>عباسی</v>
      </c>
      <c r="F112" s="25">
        <f>VLOOKUP($A112,'اطلاعات پرسنل'!$A$1:$AL$511,34,0)</f>
        <v>6</v>
      </c>
      <c r="G112" s="19">
        <v>0</v>
      </c>
      <c r="H112" s="139">
        <f t="shared" si="59"/>
        <v>30.5</v>
      </c>
      <c r="I112" s="64">
        <f>VLOOKUP($A112,'اطلاعات پرسنل'!$A$1:$BW$111,21,0)</f>
        <v>0</v>
      </c>
      <c r="J112" s="64">
        <f>VLOOKUP($A112,'اطلاعات پرسنل'!$A$1:$BW$111,41,0)</f>
        <v>2261228.7480000001</v>
      </c>
      <c r="K112" s="64">
        <v>0</v>
      </c>
      <c r="L112" s="64">
        <v>0</v>
      </c>
      <c r="M112" s="19">
        <v>0</v>
      </c>
      <c r="N112" s="64">
        <f t="shared" si="60"/>
        <v>0</v>
      </c>
      <c r="O112" s="19">
        <f>H112</f>
        <v>30.5</v>
      </c>
      <c r="P112" s="64">
        <f>J112*15%*O112</f>
        <v>10345121.5221</v>
      </c>
      <c r="Q112" s="64"/>
      <c r="R112" s="64"/>
      <c r="S112" s="64">
        <f t="shared" si="61"/>
        <v>0</v>
      </c>
      <c r="T112" s="64">
        <f t="shared" si="62"/>
        <v>5396755.3999999994</v>
      </c>
      <c r="U112" s="64">
        <v>0</v>
      </c>
      <c r="V112" s="18">
        <f t="shared" si="63"/>
        <v>0</v>
      </c>
      <c r="W112" s="64">
        <v>60</v>
      </c>
      <c r="X112" s="18">
        <f t="shared" si="64"/>
        <v>25901347.59482431</v>
      </c>
      <c r="Y112" s="21">
        <v>0</v>
      </c>
      <c r="Z112" s="21">
        <f t="shared" si="65"/>
        <v>0</v>
      </c>
      <c r="AA112" s="21">
        <v>0</v>
      </c>
      <c r="AB112" s="21">
        <f t="shared" si="66"/>
        <v>0</v>
      </c>
      <c r="AC112" s="21"/>
      <c r="AD112" s="21">
        <f t="shared" si="67"/>
        <v>0</v>
      </c>
      <c r="AE112" s="21"/>
      <c r="AF112" s="21">
        <f t="shared" si="68"/>
        <v>0</v>
      </c>
      <c r="AG112" s="64">
        <f t="shared" si="69"/>
        <v>0</v>
      </c>
      <c r="AH112" s="64">
        <f t="shared" si="70"/>
        <v>9150000</v>
      </c>
      <c r="AI112" s="64">
        <f t="shared" si="71"/>
        <v>0</v>
      </c>
      <c r="AJ112" s="64">
        <f t="shared" si="72"/>
        <v>11183333.333333334</v>
      </c>
      <c r="AK112" s="64">
        <f t="shared" si="73"/>
        <v>0</v>
      </c>
      <c r="AL112" s="64">
        <f t="shared" si="74"/>
        <v>130944034.66425766</v>
      </c>
    </row>
    <row r="113" spans="1:38" ht="24" x14ac:dyDescent="0.2">
      <c r="A113" s="2">
        <v>1433</v>
      </c>
      <c r="B113" s="67">
        <f>VLOOKUP($A113,'اطلاعات پرسنل'!$A$1:$AL$501,28,0)</f>
        <v>0</v>
      </c>
      <c r="C113" s="6">
        <v>32</v>
      </c>
      <c r="D113" s="5" t="str">
        <f>VLOOKUP($A113,'اطلاعات پرسنل'!$A$1:$AL$301,3,0)</f>
        <v>حسین</v>
      </c>
      <c r="E113" s="5" t="str">
        <f>VLOOKUP($A113,'اطلاعات پرسنل'!$A$1:$AL$111,4,0)</f>
        <v xml:space="preserve">غلامپور ملاطی </v>
      </c>
      <c r="F113" s="25" t="str">
        <f>VLOOKUP($A113,'اطلاعات پرسنل'!$A$1:$AL$511,34,0)</f>
        <v>7</v>
      </c>
      <c r="G113" s="19">
        <v>0</v>
      </c>
      <c r="H113" s="139">
        <f t="shared" si="59"/>
        <v>30.5</v>
      </c>
      <c r="I113" s="64">
        <f>VLOOKUP($A113,'اطلاعات پرسنل'!$A$1:$BW$111,21,0)</f>
        <v>0</v>
      </c>
      <c r="J113" s="64">
        <f>VLOOKUP($A113,'اطلاعات پرسنل'!$A$1:$BW$111,41,0)</f>
        <v>2337663.8703333335</v>
      </c>
      <c r="K113" s="64">
        <v>0</v>
      </c>
      <c r="L113" s="64">
        <v>0</v>
      </c>
      <c r="M113" s="19">
        <v>0</v>
      </c>
      <c r="N113" s="64">
        <f t="shared" si="60"/>
        <v>0</v>
      </c>
      <c r="O113" s="19"/>
      <c r="P113" s="64">
        <f>K113*22.5%*O113</f>
        <v>0</v>
      </c>
      <c r="Q113" s="64"/>
      <c r="R113" s="64"/>
      <c r="S113" s="64">
        <f t="shared" si="61"/>
        <v>0</v>
      </c>
      <c r="T113" s="64">
        <f t="shared" si="62"/>
        <v>0</v>
      </c>
      <c r="U113" s="64">
        <v>0</v>
      </c>
      <c r="V113" s="18">
        <f t="shared" si="63"/>
        <v>0</v>
      </c>
      <c r="W113" s="64">
        <v>40</v>
      </c>
      <c r="X113" s="18">
        <f t="shared" si="64"/>
        <v>17851251.454596598</v>
      </c>
      <c r="Y113" s="21">
        <v>0</v>
      </c>
      <c r="Z113" s="21">
        <f t="shared" si="65"/>
        <v>0</v>
      </c>
      <c r="AA113" s="21">
        <v>0</v>
      </c>
      <c r="AB113" s="21">
        <f t="shared" si="66"/>
        <v>0</v>
      </c>
      <c r="AC113" s="21"/>
      <c r="AD113" s="21">
        <f t="shared" si="67"/>
        <v>0</v>
      </c>
      <c r="AE113" s="21"/>
      <c r="AF113" s="21">
        <f t="shared" si="68"/>
        <v>0</v>
      </c>
      <c r="AG113" s="64">
        <f t="shared" si="69"/>
        <v>0</v>
      </c>
      <c r="AH113" s="64">
        <f t="shared" si="70"/>
        <v>9150000</v>
      </c>
      <c r="AI113" s="64">
        <f t="shared" si="71"/>
        <v>0</v>
      </c>
      <c r="AJ113" s="64">
        <f t="shared" si="72"/>
        <v>11183333.333333334</v>
      </c>
      <c r="AK113" s="64">
        <f t="shared" si="73"/>
        <v>0</v>
      </c>
      <c r="AL113" s="64">
        <f t="shared" si="74"/>
        <v>109483332.83309659</v>
      </c>
    </row>
    <row r="114" spans="1:38" ht="24" x14ac:dyDescent="0.2">
      <c r="A114" s="2">
        <v>1434</v>
      </c>
      <c r="B114" s="67">
        <f>VLOOKUP($A114,'اطلاعات پرسنل'!$A$1:$AL$501,28,0)</f>
        <v>2</v>
      </c>
      <c r="C114" s="4">
        <v>33</v>
      </c>
      <c r="D114" s="5" t="str">
        <f>VLOOKUP($A114,'اطلاعات پرسنل'!$A$1:$AL$301,3,0)</f>
        <v>علی رضا</v>
      </c>
      <c r="E114" s="5" t="str">
        <f>VLOOKUP($A114,'اطلاعات پرسنل'!$A$1:$AL$111,4,0)</f>
        <v>فرجی</v>
      </c>
      <c r="F114" s="25">
        <f>VLOOKUP($A114,'اطلاعات پرسنل'!$A$1:$AL$511,34,0)</f>
        <v>13</v>
      </c>
      <c r="G114" s="19">
        <v>0</v>
      </c>
      <c r="H114" s="139">
        <f t="shared" ref="H114:H135" si="80">$H$5</f>
        <v>30.5</v>
      </c>
      <c r="I114" s="64">
        <f>VLOOKUP($A114,'اطلاعات پرسنل'!$A$1:$BW$111,21,0)</f>
        <v>0</v>
      </c>
      <c r="J114" s="64">
        <f>VLOOKUP($A114,'اطلاعات پرسنل'!$A$1:$BW$111,41,0)</f>
        <v>2074979.3810000001</v>
      </c>
      <c r="K114" s="64">
        <v>0</v>
      </c>
      <c r="L114" s="64">
        <v>0</v>
      </c>
      <c r="M114" s="19">
        <v>0</v>
      </c>
      <c r="N114" s="64">
        <f t="shared" ref="N114:N135" si="81">I114*22.5%*M114</f>
        <v>0</v>
      </c>
      <c r="O114" s="19"/>
      <c r="P114" s="64">
        <f>K114*22.5%*O114</f>
        <v>0</v>
      </c>
      <c r="Q114" s="64"/>
      <c r="R114" s="64"/>
      <c r="S114" s="64">
        <f t="shared" ref="S114:S135" si="82">B114*4179750/30*G114</f>
        <v>0</v>
      </c>
      <c r="T114" s="64">
        <f t="shared" ref="T114:T135" si="83">B114*5308284/30*H114</f>
        <v>10793510.799999999</v>
      </c>
      <c r="U114" s="64">
        <v>0</v>
      </c>
      <c r="V114" s="18">
        <f t="shared" ref="V114:V135" si="84">I114*1.4/7.3333333*U114</f>
        <v>0</v>
      </c>
      <c r="W114" s="64">
        <v>80</v>
      </c>
      <c r="X114" s="18">
        <f t="shared" ref="X114:X135" si="85">J114*1.4/7.3333333*W114</f>
        <v>31690594.326593611</v>
      </c>
      <c r="Y114" s="21">
        <v>0</v>
      </c>
      <c r="Z114" s="21">
        <f t="shared" ref="Z114:Z135" si="86">I114*1.4/7.3*Y114*1.4</f>
        <v>0</v>
      </c>
      <c r="AA114" s="21">
        <v>0</v>
      </c>
      <c r="AB114" s="21">
        <f t="shared" ref="AB114:AB135" si="87">J114*1.4/7.3333333*AA114*1.4</f>
        <v>0</v>
      </c>
      <c r="AC114" s="21"/>
      <c r="AD114" s="21">
        <f t="shared" ref="AD114:AD135" si="88">AC114*I114</f>
        <v>0</v>
      </c>
      <c r="AE114" s="21"/>
      <c r="AF114" s="21">
        <f t="shared" ref="AF114:AF135" si="89">AE114*J114</f>
        <v>0</v>
      </c>
      <c r="AG114" s="64">
        <f t="shared" ref="AG114:AG135" si="90">6500000/30*G114</f>
        <v>0</v>
      </c>
      <c r="AH114" s="64">
        <f t="shared" ref="AH114:AH135" si="91">9000000/30*H114</f>
        <v>9150000</v>
      </c>
      <c r="AI114" s="64">
        <f t="shared" ref="AI114:AI135" si="92">8500000/30*G114</f>
        <v>0</v>
      </c>
      <c r="AJ114" s="64">
        <f t="shared" ref="AJ114:AJ135" si="93">11000000/30*H114</f>
        <v>11183333.333333334</v>
      </c>
      <c r="AK114" s="64">
        <f t="shared" ref="AK114:AK135" si="94">K114+L114+N114+V114+Q114+R114+S114+Z114+AG114+AI114+I114*G114+AD114</f>
        <v>0</v>
      </c>
      <c r="AL114" s="64">
        <f t="shared" ref="AL114:AL135" si="95">J114*H114+K114+L114+P114+T114+X114+AB114+AF114+AH114+AJ114</f>
        <v>126104309.58042693</v>
      </c>
    </row>
    <row r="115" spans="1:38" ht="24" x14ac:dyDescent="0.2">
      <c r="A115" s="2">
        <v>1438</v>
      </c>
      <c r="B115" s="67">
        <f>VLOOKUP($A115,'اطلاعات پرسنل'!$A$1:$AL$501,28,0)</f>
        <v>3</v>
      </c>
      <c r="C115" s="6">
        <v>34</v>
      </c>
      <c r="D115" s="5" t="str">
        <f>VLOOKUP($A115,'اطلاعات پرسنل'!$A$1:$AL$301,3,0)</f>
        <v>اسماعیل</v>
      </c>
      <c r="E115" s="5" t="str">
        <f>VLOOKUP($A115,'اطلاعات پرسنل'!$A$1:$AL$111,4,0)</f>
        <v>کاتبی</v>
      </c>
      <c r="F115" s="25">
        <f>VLOOKUP($A115,'اطلاعات پرسنل'!$A$1:$AL$511,34,0)</f>
        <v>6</v>
      </c>
      <c r="G115" s="19">
        <v>0</v>
      </c>
      <c r="H115" s="139">
        <f t="shared" si="80"/>
        <v>30.5</v>
      </c>
      <c r="I115" s="64">
        <f>VLOOKUP($A115,'اطلاعات پرسنل'!$A$1:$BW$111,21,0)</f>
        <v>0</v>
      </c>
      <c r="J115" s="64">
        <f>VLOOKUP($A115,'اطلاعات پرسنل'!$A$1:$BW$111,41,0)</f>
        <v>2261228.7480000001</v>
      </c>
      <c r="K115" s="64">
        <v>0</v>
      </c>
      <c r="L115" s="64">
        <v>0</v>
      </c>
      <c r="M115" s="19">
        <v>0</v>
      </c>
      <c r="N115" s="64">
        <f t="shared" si="81"/>
        <v>0</v>
      </c>
      <c r="O115" s="19">
        <f>H115</f>
        <v>30.5</v>
      </c>
      <c r="P115" s="64">
        <f>J115*15%*O115</f>
        <v>10345121.5221</v>
      </c>
      <c r="Q115" s="64"/>
      <c r="R115" s="64"/>
      <c r="S115" s="64">
        <f t="shared" si="82"/>
        <v>0</v>
      </c>
      <c r="T115" s="64">
        <f t="shared" si="83"/>
        <v>16190266.200000001</v>
      </c>
      <c r="U115" s="64">
        <v>0</v>
      </c>
      <c r="V115" s="18">
        <f t="shared" si="84"/>
        <v>0</v>
      </c>
      <c r="W115" s="64">
        <v>60</v>
      </c>
      <c r="X115" s="18">
        <f t="shared" si="85"/>
        <v>25901347.59482431</v>
      </c>
      <c r="Y115" s="21">
        <v>0</v>
      </c>
      <c r="Z115" s="21">
        <f t="shared" si="86"/>
        <v>0</v>
      </c>
      <c r="AA115" s="21">
        <v>0</v>
      </c>
      <c r="AB115" s="21">
        <f t="shared" si="87"/>
        <v>0</v>
      </c>
      <c r="AC115" s="21"/>
      <c r="AD115" s="21">
        <f t="shared" si="88"/>
        <v>0</v>
      </c>
      <c r="AE115" s="21"/>
      <c r="AF115" s="21">
        <f t="shared" si="89"/>
        <v>0</v>
      </c>
      <c r="AG115" s="64">
        <f t="shared" si="90"/>
        <v>0</v>
      </c>
      <c r="AH115" s="64">
        <f t="shared" si="91"/>
        <v>9150000</v>
      </c>
      <c r="AI115" s="64">
        <f t="shared" si="92"/>
        <v>0</v>
      </c>
      <c r="AJ115" s="64">
        <f t="shared" si="93"/>
        <v>11183333.333333334</v>
      </c>
      <c r="AK115" s="64">
        <f t="shared" si="94"/>
        <v>0</v>
      </c>
      <c r="AL115" s="64">
        <f t="shared" si="95"/>
        <v>141737545.46425766</v>
      </c>
    </row>
    <row r="116" spans="1:38" ht="24" x14ac:dyDescent="0.2">
      <c r="A116" s="2">
        <v>1440</v>
      </c>
      <c r="B116" s="67">
        <f>VLOOKUP($A116,'اطلاعات پرسنل'!$A$1:$AL$501,28,0)</f>
        <v>2</v>
      </c>
      <c r="C116" s="4">
        <v>35</v>
      </c>
      <c r="D116" s="5" t="str">
        <f>VLOOKUP($A116,'اطلاعات پرسنل'!$A$1:$AL$301,3,0)</f>
        <v>حسین</v>
      </c>
      <c r="E116" s="5" t="str">
        <f>VLOOKUP($A116,'اطلاعات پرسنل'!$A$1:$AL$111,4,0)</f>
        <v>کرمی کشمرزی</v>
      </c>
      <c r="F116" s="25">
        <f>VLOOKUP($A116,'اطلاعات پرسنل'!$A$1:$AL$511,34,0)</f>
        <v>4</v>
      </c>
      <c r="G116" s="19">
        <v>0</v>
      </c>
      <c r="H116" s="139">
        <f t="shared" si="80"/>
        <v>30.5</v>
      </c>
      <c r="I116" s="64">
        <f>VLOOKUP($A116,'اطلاعات پرسنل'!$A$1:$BW$111,21,0)</f>
        <v>0</v>
      </c>
      <c r="J116" s="64">
        <f>VLOOKUP($A116,'اطلاعات پرسنل'!$A$1:$BW$111,41,0)</f>
        <v>2337063.8703333335</v>
      </c>
      <c r="K116" s="64">
        <v>0</v>
      </c>
      <c r="L116" s="64">
        <v>0</v>
      </c>
      <c r="M116" s="19">
        <v>0</v>
      </c>
      <c r="N116" s="64">
        <f t="shared" si="81"/>
        <v>0</v>
      </c>
      <c r="O116" s="19"/>
      <c r="P116" s="64">
        <f>K116*22.5%*O116</f>
        <v>0</v>
      </c>
      <c r="Q116" s="64"/>
      <c r="R116" s="64"/>
      <c r="S116" s="64">
        <f t="shared" si="82"/>
        <v>0</v>
      </c>
      <c r="T116" s="64">
        <f t="shared" si="83"/>
        <v>10793510.799999999</v>
      </c>
      <c r="U116" s="64">
        <v>0</v>
      </c>
      <c r="V116" s="18">
        <f t="shared" si="84"/>
        <v>0</v>
      </c>
      <c r="W116" s="64">
        <v>40</v>
      </c>
      <c r="X116" s="18">
        <f t="shared" si="85"/>
        <v>17846669.636393953</v>
      </c>
      <c r="Y116" s="21">
        <v>0</v>
      </c>
      <c r="Z116" s="21">
        <f t="shared" si="86"/>
        <v>0</v>
      </c>
      <c r="AA116" s="21">
        <v>0</v>
      </c>
      <c r="AB116" s="21">
        <f t="shared" si="87"/>
        <v>0</v>
      </c>
      <c r="AC116" s="21"/>
      <c r="AD116" s="21">
        <f t="shared" si="88"/>
        <v>0</v>
      </c>
      <c r="AE116" s="21"/>
      <c r="AF116" s="21">
        <f t="shared" si="89"/>
        <v>0</v>
      </c>
      <c r="AG116" s="64">
        <f t="shared" si="90"/>
        <v>0</v>
      </c>
      <c r="AH116" s="64">
        <f t="shared" si="91"/>
        <v>9150000</v>
      </c>
      <c r="AI116" s="64">
        <f t="shared" si="92"/>
        <v>0</v>
      </c>
      <c r="AJ116" s="64">
        <f t="shared" si="93"/>
        <v>11183333.333333334</v>
      </c>
      <c r="AK116" s="64">
        <f t="shared" si="94"/>
        <v>0</v>
      </c>
      <c r="AL116" s="64">
        <f t="shared" si="95"/>
        <v>120253961.81489395</v>
      </c>
    </row>
    <row r="117" spans="1:38" ht="24" x14ac:dyDescent="0.2">
      <c r="A117" s="2">
        <v>1441</v>
      </c>
      <c r="B117" s="67">
        <f>VLOOKUP($A117,'اطلاعات پرسنل'!$A$1:$AL$501,28,0)</f>
        <v>0</v>
      </c>
      <c r="C117" s="6">
        <v>36</v>
      </c>
      <c r="D117" s="5" t="str">
        <f>VLOOKUP($A117,'اطلاعات پرسنل'!$A$1:$AL$301,3,0)</f>
        <v>سعید</v>
      </c>
      <c r="E117" s="5" t="str">
        <f>VLOOKUP($A117,'اطلاعات پرسنل'!$A$1:$AL$111,4,0)</f>
        <v>گودرزوند چگینی</v>
      </c>
      <c r="F117" s="25" t="str">
        <f>VLOOKUP($A117,'اطلاعات پرسنل'!$A$1:$AL$511,34,0)</f>
        <v>9</v>
      </c>
      <c r="G117" s="19">
        <v>0</v>
      </c>
      <c r="H117" s="139">
        <f t="shared" si="80"/>
        <v>30.5</v>
      </c>
      <c r="I117" s="64">
        <f>VLOOKUP($A117,'اطلاعات پرسنل'!$A$1:$BW$111,21,0)</f>
        <v>0</v>
      </c>
      <c r="J117" s="64">
        <f>VLOOKUP($A117,'اطلاعات پرسنل'!$A$1:$BW$111,41,0)</f>
        <v>2176711.9836666668</v>
      </c>
      <c r="K117" s="64">
        <v>0</v>
      </c>
      <c r="L117" s="64">
        <v>0</v>
      </c>
      <c r="M117" s="19">
        <v>0</v>
      </c>
      <c r="N117" s="64">
        <f t="shared" si="81"/>
        <v>0</v>
      </c>
      <c r="O117" s="19"/>
      <c r="P117" s="64">
        <f>K117*22.5%*O117</f>
        <v>0</v>
      </c>
      <c r="Q117" s="64"/>
      <c r="R117" s="64"/>
      <c r="S117" s="64">
        <f t="shared" si="82"/>
        <v>0</v>
      </c>
      <c r="T117" s="64">
        <f t="shared" si="83"/>
        <v>0</v>
      </c>
      <c r="U117" s="64">
        <v>0</v>
      </c>
      <c r="V117" s="18">
        <f t="shared" si="84"/>
        <v>0</v>
      </c>
      <c r="W117" s="64">
        <v>40</v>
      </c>
      <c r="X117" s="18">
        <f t="shared" si="85"/>
        <v>16622164.314464385</v>
      </c>
      <c r="Y117" s="21">
        <v>0</v>
      </c>
      <c r="Z117" s="21">
        <f t="shared" si="86"/>
        <v>0</v>
      </c>
      <c r="AA117" s="21">
        <v>0</v>
      </c>
      <c r="AB117" s="21">
        <f t="shared" si="87"/>
        <v>0</v>
      </c>
      <c r="AC117" s="21"/>
      <c r="AD117" s="21">
        <f t="shared" si="88"/>
        <v>0</v>
      </c>
      <c r="AE117" s="21"/>
      <c r="AF117" s="21">
        <f t="shared" si="89"/>
        <v>0</v>
      </c>
      <c r="AG117" s="64">
        <f t="shared" si="90"/>
        <v>0</v>
      </c>
      <c r="AH117" s="64">
        <f t="shared" si="91"/>
        <v>9150000</v>
      </c>
      <c r="AI117" s="64">
        <f t="shared" si="92"/>
        <v>0</v>
      </c>
      <c r="AJ117" s="64">
        <f t="shared" si="93"/>
        <v>11183333.333333334</v>
      </c>
      <c r="AK117" s="64">
        <f t="shared" si="94"/>
        <v>0</v>
      </c>
      <c r="AL117" s="64">
        <f t="shared" si="95"/>
        <v>103345213.14963105</v>
      </c>
    </row>
    <row r="118" spans="1:38" ht="24" x14ac:dyDescent="0.2">
      <c r="A118" s="2">
        <v>1442</v>
      </c>
      <c r="B118" s="67">
        <f>VLOOKUP($A118,'اطلاعات پرسنل'!$A$1:$AL$501,28,0)</f>
        <v>1</v>
      </c>
      <c r="C118" s="4">
        <v>37</v>
      </c>
      <c r="D118" s="5" t="str">
        <f>VLOOKUP($A118,'اطلاعات پرسنل'!$A$1:$AL$301,3,0)</f>
        <v>علی</v>
      </c>
      <c r="E118" s="5" t="str">
        <f>VLOOKUP($A118,'اطلاعات پرسنل'!$A$1:$AL$111,4,0)</f>
        <v>لطفی جلیلوند</v>
      </c>
      <c r="F118" s="25">
        <f>VLOOKUP($A118,'اطلاعات پرسنل'!$A$1:$AL$511,34,0)</f>
        <v>13</v>
      </c>
      <c r="G118" s="19">
        <v>0</v>
      </c>
      <c r="H118" s="139">
        <f t="shared" si="80"/>
        <v>30.5</v>
      </c>
      <c r="I118" s="64">
        <f>VLOOKUP($A118,'اطلاعات پرسنل'!$A$1:$BW$111,21,0)</f>
        <v>0</v>
      </c>
      <c r="J118" s="64">
        <f>VLOOKUP($A118,'اطلاعات پرسنل'!$A$1:$BW$111,41,0)</f>
        <v>2004847.5389999999</v>
      </c>
      <c r="K118" s="64">
        <v>0</v>
      </c>
      <c r="L118" s="64">
        <v>0</v>
      </c>
      <c r="M118" s="19">
        <v>0</v>
      </c>
      <c r="N118" s="64">
        <f t="shared" si="81"/>
        <v>0</v>
      </c>
      <c r="O118" s="19"/>
      <c r="P118" s="64">
        <f>K118*22.5%*O118</f>
        <v>0</v>
      </c>
      <c r="Q118" s="64"/>
      <c r="R118" s="64"/>
      <c r="S118" s="64">
        <f t="shared" si="82"/>
        <v>0</v>
      </c>
      <c r="T118" s="64">
        <f t="shared" si="83"/>
        <v>5396755.3999999994</v>
      </c>
      <c r="U118" s="64">
        <v>0</v>
      </c>
      <c r="V118" s="18">
        <f t="shared" si="84"/>
        <v>0</v>
      </c>
      <c r="W118" s="64">
        <v>80</v>
      </c>
      <c r="X118" s="18">
        <f t="shared" si="85"/>
        <v>30619489.825724952</v>
      </c>
      <c r="Y118" s="21">
        <v>0</v>
      </c>
      <c r="Z118" s="21">
        <f t="shared" si="86"/>
        <v>0</v>
      </c>
      <c r="AA118" s="21">
        <v>0</v>
      </c>
      <c r="AB118" s="21">
        <f t="shared" si="87"/>
        <v>0</v>
      </c>
      <c r="AC118" s="21"/>
      <c r="AD118" s="21">
        <f t="shared" si="88"/>
        <v>0</v>
      </c>
      <c r="AE118" s="21"/>
      <c r="AF118" s="21">
        <f t="shared" si="89"/>
        <v>0</v>
      </c>
      <c r="AG118" s="64">
        <f t="shared" si="90"/>
        <v>0</v>
      </c>
      <c r="AH118" s="64">
        <f t="shared" si="91"/>
        <v>9150000</v>
      </c>
      <c r="AI118" s="64">
        <f t="shared" si="92"/>
        <v>0</v>
      </c>
      <c r="AJ118" s="64">
        <f t="shared" si="93"/>
        <v>11183333.333333334</v>
      </c>
      <c r="AK118" s="64">
        <f t="shared" si="94"/>
        <v>0</v>
      </c>
      <c r="AL118" s="64">
        <f t="shared" si="95"/>
        <v>117497428.49855827</v>
      </c>
    </row>
    <row r="119" spans="1:38" ht="24" x14ac:dyDescent="0.2">
      <c r="A119" s="2">
        <v>1443</v>
      </c>
      <c r="B119" s="67">
        <f>VLOOKUP($A119,'اطلاعات پرسنل'!$A$1:$AL$501,28,0)</f>
        <v>0</v>
      </c>
      <c r="C119" s="6">
        <v>38</v>
      </c>
      <c r="D119" s="5" t="str">
        <f>VLOOKUP($A119,'اطلاعات پرسنل'!$A$1:$AL$301,3,0)</f>
        <v>احسان</v>
      </c>
      <c r="E119" s="5" t="str">
        <f>VLOOKUP($A119,'اطلاعات پرسنل'!$A$1:$AL$111,4,0)</f>
        <v>مافی مقدم</v>
      </c>
      <c r="F119" s="25">
        <f>VLOOKUP($A119,'اطلاعات پرسنل'!$A$1:$AL$511,34,0)</f>
        <v>7</v>
      </c>
      <c r="G119" s="19">
        <v>0</v>
      </c>
      <c r="H119" s="139">
        <f t="shared" si="80"/>
        <v>30.5</v>
      </c>
      <c r="I119" s="64">
        <f>VLOOKUP($A119,'اطلاعات پرسنل'!$A$1:$BW$111,21,0)</f>
        <v>0</v>
      </c>
      <c r="J119" s="64">
        <f>VLOOKUP($A119,'اطلاعات پرسنل'!$A$1:$BW$111,41,0)</f>
        <v>2003247.5389999999</v>
      </c>
      <c r="K119" s="64">
        <v>0</v>
      </c>
      <c r="L119" s="64">
        <v>0</v>
      </c>
      <c r="M119" s="19">
        <v>0</v>
      </c>
      <c r="N119" s="64">
        <f t="shared" si="81"/>
        <v>0</v>
      </c>
      <c r="O119" s="19"/>
      <c r="P119" s="64">
        <f>K119*22.5%*O119</f>
        <v>0</v>
      </c>
      <c r="Q119" s="64"/>
      <c r="R119" s="64"/>
      <c r="S119" s="64">
        <f t="shared" si="82"/>
        <v>0</v>
      </c>
      <c r="T119" s="64">
        <f t="shared" si="83"/>
        <v>0</v>
      </c>
      <c r="U119" s="64">
        <v>0</v>
      </c>
      <c r="V119" s="18">
        <f t="shared" si="84"/>
        <v>0</v>
      </c>
      <c r="W119" s="64">
        <v>40</v>
      </c>
      <c r="X119" s="18">
        <f t="shared" si="85"/>
        <v>15297526.730988756</v>
      </c>
      <c r="Y119" s="21">
        <v>0</v>
      </c>
      <c r="Z119" s="21">
        <f t="shared" si="86"/>
        <v>0</v>
      </c>
      <c r="AA119" s="21">
        <v>0</v>
      </c>
      <c r="AB119" s="21">
        <f t="shared" si="87"/>
        <v>0</v>
      </c>
      <c r="AC119" s="21"/>
      <c r="AD119" s="21">
        <f t="shared" si="88"/>
        <v>0</v>
      </c>
      <c r="AE119" s="21"/>
      <c r="AF119" s="21">
        <f t="shared" si="89"/>
        <v>0</v>
      </c>
      <c r="AG119" s="64">
        <f t="shared" si="90"/>
        <v>0</v>
      </c>
      <c r="AH119" s="64">
        <f t="shared" si="91"/>
        <v>9150000</v>
      </c>
      <c r="AI119" s="64">
        <f t="shared" si="92"/>
        <v>0</v>
      </c>
      <c r="AJ119" s="64">
        <f t="shared" si="93"/>
        <v>11183333.333333334</v>
      </c>
      <c r="AK119" s="64">
        <f t="shared" si="94"/>
        <v>0</v>
      </c>
      <c r="AL119" s="64">
        <f t="shared" si="95"/>
        <v>96729910.003822073</v>
      </c>
    </row>
    <row r="120" spans="1:38" ht="24" x14ac:dyDescent="0.2">
      <c r="A120" s="2">
        <v>1444</v>
      </c>
      <c r="B120" s="67">
        <f>VLOOKUP($A120,'اطلاعات پرسنل'!$A$1:$AL$501,28,0)</f>
        <v>1</v>
      </c>
      <c r="C120" s="4">
        <v>39</v>
      </c>
      <c r="D120" s="5" t="str">
        <f>VLOOKUP($A120,'اطلاعات پرسنل'!$A$1:$AL$301,3,0)</f>
        <v>فرهاد</v>
      </c>
      <c r="E120" s="5" t="str">
        <f>VLOOKUP($A120,'اطلاعات پرسنل'!$A$1:$AL$111,4,0)</f>
        <v>محمودی دارانی</v>
      </c>
      <c r="F120" s="25">
        <f>VLOOKUP($A120,'اطلاعات پرسنل'!$A$1:$AL$511,34,0)</f>
        <v>7</v>
      </c>
      <c r="G120" s="19">
        <v>0</v>
      </c>
      <c r="H120" s="139">
        <f t="shared" si="80"/>
        <v>30.5</v>
      </c>
      <c r="I120" s="64">
        <f>VLOOKUP($A120,'اطلاعات پرسنل'!$A$1:$BW$111,21,0)</f>
        <v>0</v>
      </c>
      <c r="J120" s="64">
        <f>VLOOKUP($A120,'اطلاعات پرسنل'!$A$1:$BW$111,41,0)</f>
        <v>2132374.2620000001</v>
      </c>
      <c r="K120" s="64">
        <v>0</v>
      </c>
      <c r="L120" s="64">
        <v>0</v>
      </c>
      <c r="M120" s="19">
        <v>0</v>
      </c>
      <c r="N120" s="64">
        <f t="shared" si="81"/>
        <v>0</v>
      </c>
      <c r="O120" s="19"/>
      <c r="P120" s="64">
        <f>K120*22.5%*O120</f>
        <v>0</v>
      </c>
      <c r="Q120" s="64"/>
      <c r="R120" s="64"/>
      <c r="S120" s="64">
        <f t="shared" si="82"/>
        <v>0</v>
      </c>
      <c r="T120" s="64">
        <f t="shared" si="83"/>
        <v>5396755.3999999994</v>
      </c>
      <c r="U120" s="64">
        <v>0</v>
      </c>
      <c r="V120" s="18">
        <f t="shared" si="84"/>
        <v>0</v>
      </c>
      <c r="W120" s="64">
        <v>40</v>
      </c>
      <c r="X120" s="18">
        <f t="shared" si="85"/>
        <v>16283585.347470844</v>
      </c>
      <c r="Y120" s="21">
        <v>0</v>
      </c>
      <c r="Z120" s="21">
        <f t="shared" si="86"/>
        <v>0</v>
      </c>
      <c r="AA120" s="21">
        <v>0</v>
      </c>
      <c r="AB120" s="21">
        <f t="shared" si="87"/>
        <v>0</v>
      </c>
      <c r="AC120" s="21"/>
      <c r="AD120" s="21">
        <f t="shared" si="88"/>
        <v>0</v>
      </c>
      <c r="AE120" s="21"/>
      <c r="AF120" s="21">
        <f t="shared" si="89"/>
        <v>0</v>
      </c>
      <c r="AG120" s="64">
        <f t="shared" si="90"/>
        <v>0</v>
      </c>
      <c r="AH120" s="64">
        <f t="shared" si="91"/>
        <v>9150000</v>
      </c>
      <c r="AI120" s="64">
        <f t="shared" si="92"/>
        <v>0</v>
      </c>
      <c r="AJ120" s="64">
        <f t="shared" si="93"/>
        <v>11183333.333333334</v>
      </c>
      <c r="AK120" s="64">
        <f t="shared" si="94"/>
        <v>0</v>
      </c>
      <c r="AL120" s="64">
        <f t="shared" si="95"/>
        <v>107051089.07180418</v>
      </c>
    </row>
    <row r="121" spans="1:38" ht="24" x14ac:dyDescent="0.2">
      <c r="A121" s="2">
        <v>1445</v>
      </c>
      <c r="B121" s="67">
        <f>VLOOKUP($A121,'اطلاعات پرسنل'!$A$1:$AL$501,28,0)</f>
        <v>0</v>
      </c>
      <c r="C121" s="6">
        <v>40</v>
      </c>
      <c r="D121" s="5" t="str">
        <f>VLOOKUP($A121,'اطلاعات پرسنل'!$A$1:$AL$301,3,0)</f>
        <v>محمد</v>
      </c>
      <c r="E121" s="5" t="str">
        <f>VLOOKUP($A121,'اطلاعات پرسنل'!$A$1:$AL$111,4,0)</f>
        <v>معصوم خانی</v>
      </c>
      <c r="F121" s="25">
        <f>VLOOKUP($A121,'اطلاعات پرسنل'!$A$1:$AL$511,34,0)</f>
        <v>6</v>
      </c>
      <c r="G121" s="19">
        <v>0</v>
      </c>
      <c r="H121" s="139">
        <f t="shared" si="80"/>
        <v>30.5</v>
      </c>
      <c r="I121" s="64">
        <f>VLOOKUP($A121,'اطلاعات پرسنل'!$A$1:$BW$111,21,0)</f>
        <v>0</v>
      </c>
      <c r="J121" s="64">
        <f>VLOOKUP($A121,'اطلاعات پرسنل'!$A$1:$BW$111,41,0)</f>
        <v>2261228.7480000001</v>
      </c>
      <c r="K121" s="64">
        <v>0</v>
      </c>
      <c r="L121" s="64">
        <v>0</v>
      </c>
      <c r="M121" s="19">
        <v>0</v>
      </c>
      <c r="N121" s="64">
        <f t="shared" si="81"/>
        <v>0</v>
      </c>
      <c r="O121" s="19">
        <f>H121</f>
        <v>30.5</v>
      </c>
      <c r="P121" s="64">
        <f>J121*15%*O121</f>
        <v>10345121.5221</v>
      </c>
      <c r="Q121" s="64"/>
      <c r="R121" s="64"/>
      <c r="S121" s="64">
        <f t="shared" si="82"/>
        <v>0</v>
      </c>
      <c r="T121" s="64">
        <f t="shared" si="83"/>
        <v>0</v>
      </c>
      <c r="U121" s="64">
        <v>0</v>
      </c>
      <c r="V121" s="18">
        <f t="shared" si="84"/>
        <v>0</v>
      </c>
      <c r="W121" s="64">
        <v>60</v>
      </c>
      <c r="X121" s="18">
        <f t="shared" si="85"/>
        <v>25901347.59482431</v>
      </c>
      <c r="Y121" s="21">
        <v>0</v>
      </c>
      <c r="Z121" s="21">
        <f t="shared" si="86"/>
        <v>0</v>
      </c>
      <c r="AA121" s="21">
        <v>0</v>
      </c>
      <c r="AB121" s="21">
        <f t="shared" si="87"/>
        <v>0</v>
      </c>
      <c r="AC121" s="21"/>
      <c r="AD121" s="21">
        <f t="shared" si="88"/>
        <v>0</v>
      </c>
      <c r="AE121" s="21"/>
      <c r="AF121" s="21">
        <f t="shared" si="89"/>
        <v>0</v>
      </c>
      <c r="AG121" s="64">
        <f t="shared" si="90"/>
        <v>0</v>
      </c>
      <c r="AH121" s="64">
        <f t="shared" si="91"/>
        <v>9150000</v>
      </c>
      <c r="AI121" s="64">
        <f t="shared" si="92"/>
        <v>0</v>
      </c>
      <c r="AJ121" s="64">
        <f t="shared" si="93"/>
        <v>11183333.333333334</v>
      </c>
      <c r="AK121" s="64">
        <f t="shared" si="94"/>
        <v>0</v>
      </c>
      <c r="AL121" s="64">
        <f t="shared" si="95"/>
        <v>125547279.26425765</v>
      </c>
    </row>
    <row r="122" spans="1:38" ht="24" x14ac:dyDescent="0.2">
      <c r="A122" s="2">
        <v>1447</v>
      </c>
      <c r="B122" s="67">
        <f>VLOOKUP($A122,'اطلاعات پرسنل'!$A$1:$AL$501,28,0)</f>
        <v>3</v>
      </c>
      <c r="C122" s="4">
        <v>41</v>
      </c>
      <c r="D122" s="5" t="str">
        <f>VLOOKUP($A122,'اطلاعات پرسنل'!$A$1:$AL$301,3,0)</f>
        <v>حسین</v>
      </c>
      <c r="E122" s="5" t="str">
        <f>VLOOKUP($A122,'اطلاعات پرسنل'!$A$1:$AL$111,4,0)</f>
        <v>مهدی پور</v>
      </c>
      <c r="F122" s="25">
        <f>VLOOKUP($A122,'اطلاعات پرسنل'!$A$1:$AL$511,34,0)</f>
        <v>4</v>
      </c>
      <c r="G122" s="19">
        <v>0</v>
      </c>
      <c r="H122" s="139">
        <f t="shared" si="80"/>
        <v>30.5</v>
      </c>
      <c r="I122" s="64">
        <f>VLOOKUP($A122,'اطلاعات پرسنل'!$A$1:$BW$111,21,0)</f>
        <v>0</v>
      </c>
      <c r="J122" s="64">
        <f>VLOOKUP($A122,'اطلاعات پرسنل'!$A$1:$BW$111,41,0)</f>
        <v>2299367.611</v>
      </c>
      <c r="K122" s="64">
        <v>0</v>
      </c>
      <c r="L122" s="64">
        <v>0</v>
      </c>
      <c r="M122" s="19">
        <v>0</v>
      </c>
      <c r="N122" s="64">
        <f t="shared" si="81"/>
        <v>0</v>
      </c>
      <c r="O122" s="19"/>
      <c r="P122" s="64">
        <f>K122*22.5%*O122</f>
        <v>0</v>
      </c>
      <c r="Q122" s="64"/>
      <c r="R122" s="64"/>
      <c r="S122" s="64">
        <f t="shared" si="82"/>
        <v>0</v>
      </c>
      <c r="T122" s="64">
        <f t="shared" si="83"/>
        <v>16190266.200000001</v>
      </c>
      <c r="U122" s="64">
        <v>0</v>
      </c>
      <c r="V122" s="18">
        <f t="shared" si="84"/>
        <v>0</v>
      </c>
      <c r="W122" s="64">
        <v>40</v>
      </c>
      <c r="X122" s="18">
        <f t="shared" si="85"/>
        <v>17558807.291085489</v>
      </c>
      <c r="Y122" s="21">
        <v>0</v>
      </c>
      <c r="Z122" s="21">
        <f t="shared" si="86"/>
        <v>0</v>
      </c>
      <c r="AA122" s="21">
        <v>0</v>
      </c>
      <c r="AB122" s="21">
        <f t="shared" si="87"/>
        <v>0</v>
      </c>
      <c r="AC122" s="21"/>
      <c r="AD122" s="21">
        <f t="shared" si="88"/>
        <v>0</v>
      </c>
      <c r="AE122" s="21"/>
      <c r="AF122" s="21">
        <f t="shared" si="89"/>
        <v>0</v>
      </c>
      <c r="AG122" s="64">
        <f t="shared" si="90"/>
        <v>0</v>
      </c>
      <c r="AH122" s="64">
        <f t="shared" si="91"/>
        <v>9150000</v>
      </c>
      <c r="AI122" s="64">
        <f t="shared" si="92"/>
        <v>0</v>
      </c>
      <c r="AJ122" s="64">
        <f t="shared" si="93"/>
        <v>11183333.333333334</v>
      </c>
      <c r="AK122" s="64">
        <f t="shared" si="94"/>
        <v>0</v>
      </c>
      <c r="AL122" s="64">
        <f t="shared" si="95"/>
        <v>124213118.95991881</v>
      </c>
    </row>
    <row r="123" spans="1:38" ht="24" x14ac:dyDescent="0.2">
      <c r="A123" s="2">
        <v>1408</v>
      </c>
      <c r="B123" s="67">
        <f>VLOOKUP($A123,'اطلاعات پرسنل'!$A$1:$AL$501,28,0)</f>
        <v>1</v>
      </c>
      <c r="C123" s="6">
        <v>42</v>
      </c>
      <c r="D123" s="5" t="str">
        <f>VLOOKUP($A123,'اطلاعات پرسنل'!$A$1:$AL$301,3,0)</f>
        <v xml:space="preserve">مصطفی </v>
      </c>
      <c r="E123" s="5" t="str">
        <f>VLOOKUP($A123,'اطلاعات پرسنل'!$A$1:$AL$111,4,0)</f>
        <v>بهتویی</v>
      </c>
      <c r="F123" s="25">
        <f>VLOOKUP($A123,'اطلاعات پرسنل'!$A$1:$AL$511,34,0)</f>
        <v>2</v>
      </c>
      <c r="G123" s="19">
        <v>0</v>
      </c>
      <c r="H123" s="139">
        <f t="shared" si="80"/>
        <v>30.5</v>
      </c>
      <c r="I123" s="64">
        <f>VLOOKUP($A123,'اطلاعات پرسنل'!$A$1:$BW$111,21,0)</f>
        <v>0</v>
      </c>
      <c r="J123" s="64">
        <f>VLOOKUP($A123,'اطلاعات پرسنل'!$A$1:$BW$111,41,0)</f>
        <v>2336663.8703333335</v>
      </c>
      <c r="K123" s="64">
        <v>0</v>
      </c>
      <c r="L123" s="64">
        <v>0</v>
      </c>
      <c r="M123" s="19">
        <v>0</v>
      </c>
      <c r="N123" s="64">
        <f t="shared" si="81"/>
        <v>0</v>
      </c>
      <c r="O123" s="19">
        <f>H123</f>
        <v>30.5</v>
      </c>
      <c r="P123" s="64">
        <f>J123*15%*O123</f>
        <v>10690237.206775</v>
      </c>
      <c r="Q123" s="64"/>
      <c r="R123" s="64"/>
      <c r="S123" s="64">
        <f t="shared" si="82"/>
        <v>0</v>
      </c>
      <c r="T123" s="64">
        <f t="shared" si="83"/>
        <v>5396755.3999999994</v>
      </c>
      <c r="U123" s="64">
        <v>0</v>
      </c>
      <c r="V123" s="18">
        <f t="shared" si="84"/>
        <v>0</v>
      </c>
      <c r="W123" s="64">
        <v>60</v>
      </c>
      <c r="X123" s="18">
        <f t="shared" si="85"/>
        <v>26765422.636388287</v>
      </c>
      <c r="Y123" s="21">
        <v>0</v>
      </c>
      <c r="Z123" s="21">
        <f t="shared" si="86"/>
        <v>0</v>
      </c>
      <c r="AA123" s="21">
        <v>0</v>
      </c>
      <c r="AB123" s="21">
        <f t="shared" si="87"/>
        <v>0</v>
      </c>
      <c r="AC123" s="21"/>
      <c r="AD123" s="21">
        <f t="shared" si="88"/>
        <v>0</v>
      </c>
      <c r="AE123" s="21"/>
      <c r="AF123" s="21">
        <f t="shared" si="89"/>
        <v>0</v>
      </c>
      <c r="AG123" s="64">
        <f t="shared" si="90"/>
        <v>0</v>
      </c>
      <c r="AH123" s="64">
        <f t="shared" si="91"/>
        <v>9150000</v>
      </c>
      <c r="AI123" s="64">
        <f t="shared" si="92"/>
        <v>0</v>
      </c>
      <c r="AJ123" s="64">
        <f t="shared" si="93"/>
        <v>11183333.333333334</v>
      </c>
      <c r="AK123" s="64">
        <f t="shared" si="94"/>
        <v>0</v>
      </c>
      <c r="AL123" s="64">
        <f t="shared" si="95"/>
        <v>134453996.6216633</v>
      </c>
    </row>
    <row r="124" spans="1:38" ht="24" x14ac:dyDescent="0.2">
      <c r="A124" s="2">
        <v>1417</v>
      </c>
      <c r="B124" s="67">
        <f>VLOOKUP($A124,'اطلاعات پرسنل'!$A$1:$AL$501,28,0)</f>
        <v>0</v>
      </c>
      <c r="C124" s="4">
        <v>43</v>
      </c>
      <c r="D124" s="5" t="str">
        <f>VLOOKUP($A124,'اطلاعات پرسنل'!$A$1:$AL$301,3,0)</f>
        <v xml:space="preserve">عزت اله </v>
      </c>
      <c r="E124" s="5" t="str">
        <f>VLOOKUP($A124,'اطلاعات پرسنل'!$A$1:$AL$111,4,0)</f>
        <v>حاتمی</v>
      </c>
      <c r="F124" s="25">
        <f>VLOOKUP($A124,'اطلاعات پرسنل'!$A$1:$AL$511,34,0)</f>
        <v>2</v>
      </c>
      <c r="G124" s="19">
        <v>0</v>
      </c>
      <c r="H124" s="139">
        <f t="shared" si="80"/>
        <v>30.5</v>
      </c>
      <c r="I124" s="64">
        <f>VLOOKUP($A124,'اطلاعات پرسنل'!$A$1:$BW$111,21,0)</f>
        <v>0</v>
      </c>
      <c r="J124" s="64">
        <f>VLOOKUP($A124,'اطلاعات پرسنل'!$A$1:$BW$111,41,0)</f>
        <v>2336663.8703333335</v>
      </c>
      <c r="K124" s="64">
        <v>0</v>
      </c>
      <c r="L124" s="64">
        <v>0</v>
      </c>
      <c r="M124" s="19">
        <v>0</v>
      </c>
      <c r="N124" s="64">
        <f t="shared" si="81"/>
        <v>0</v>
      </c>
      <c r="O124" s="19"/>
      <c r="P124" s="64">
        <f t="shared" ref="P124:P130" si="96">K124*22.5%*O124</f>
        <v>0</v>
      </c>
      <c r="Q124" s="64"/>
      <c r="R124" s="64"/>
      <c r="S124" s="64">
        <f t="shared" si="82"/>
        <v>0</v>
      </c>
      <c r="T124" s="64">
        <f t="shared" si="83"/>
        <v>0</v>
      </c>
      <c r="U124" s="64">
        <v>0</v>
      </c>
      <c r="V124" s="18">
        <f t="shared" si="84"/>
        <v>0</v>
      </c>
      <c r="W124" s="64">
        <v>40</v>
      </c>
      <c r="X124" s="18">
        <f t="shared" si="85"/>
        <v>17843615.090925522</v>
      </c>
      <c r="Y124" s="21">
        <v>0</v>
      </c>
      <c r="Z124" s="21">
        <f t="shared" si="86"/>
        <v>0</v>
      </c>
      <c r="AA124" s="21">
        <v>0</v>
      </c>
      <c r="AB124" s="21">
        <f t="shared" si="87"/>
        <v>0</v>
      </c>
      <c r="AC124" s="21"/>
      <c r="AD124" s="21">
        <f t="shared" si="88"/>
        <v>0</v>
      </c>
      <c r="AE124" s="21"/>
      <c r="AF124" s="21">
        <f t="shared" si="89"/>
        <v>0</v>
      </c>
      <c r="AG124" s="64">
        <f t="shared" si="90"/>
        <v>0</v>
      </c>
      <c r="AH124" s="64">
        <f t="shared" si="91"/>
        <v>9150000</v>
      </c>
      <c r="AI124" s="64">
        <f t="shared" si="92"/>
        <v>0</v>
      </c>
      <c r="AJ124" s="64">
        <f t="shared" si="93"/>
        <v>11183333.333333334</v>
      </c>
      <c r="AK124" s="64">
        <f t="shared" si="94"/>
        <v>0</v>
      </c>
      <c r="AL124" s="64">
        <f t="shared" si="95"/>
        <v>109445196.46942551</v>
      </c>
    </row>
    <row r="125" spans="1:38" ht="24" x14ac:dyDescent="0.2">
      <c r="A125" s="2">
        <v>1427</v>
      </c>
      <c r="B125" s="67">
        <f>VLOOKUP($A125,'اطلاعات پرسنل'!$A$1:$AL$501,28,0)</f>
        <v>1</v>
      </c>
      <c r="C125" s="6">
        <v>44</v>
      </c>
      <c r="D125" s="5" t="str">
        <f>VLOOKUP($A125,'اطلاعات پرسنل'!$A$1:$AL$301,3,0)</f>
        <v xml:space="preserve">سلمان </v>
      </c>
      <c r="E125" s="5" t="str">
        <f>VLOOKUP($A125,'اطلاعات پرسنل'!$A$1:$AL$111,4,0)</f>
        <v>زارعی</v>
      </c>
      <c r="F125" s="25">
        <f>VLOOKUP($A125,'اطلاعات پرسنل'!$A$1:$AL$511,34,0)</f>
        <v>7</v>
      </c>
      <c r="G125" s="19">
        <v>0</v>
      </c>
      <c r="H125" s="139">
        <f t="shared" si="80"/>
        <v>30.5</v>
      </c>
      <c r="I125" s="64">
        <f>VLOOKUP($A125,'اطلاعات پرسنل'!$A$1:$BW$111,21,0)</f>
        <v>0</v>
      </c>
      <c r="J125" s="64">
        <f>VLOOKUP($A125,'اطلاعات پرسنل'!$A$1:$BW$111,41,0)</f>
        <v>2337663.8703333335</v>
      </c>
      <c r="K125" s="64">
        <v>0</v>
      </c>
      <c r="L125" s="64">
        <v>0</v>
      </c>
      <c r="M125" s="19">
        <v>0</v>
      </c>
      <c r="N125" s="64">
        <f t="shared" si="81"/>
        <v>0</v>
      </c>
      <c r="O125" s="19"/>
      <c r="P125" s="64">
        <f t="shared" si="96"/>
        <v>0</v>
      </c>
      <c r="Q125" s="64"/>
      <c r="R125" s="64"/>
      <c r="S125" s="64">
        <f t="shared" si="82"/>
        <v>0</v>
      </c>
      <c r="T125" s="64">
        <f t="shared" si="83"/>
        <v>5396755.3999999994</v>
      </c>
      <c r="U125" s="64">
        <v>0</v>
      </c>
      <c r="V125" s="18">
        <f t="shared" si="84"/>
        <v>0</v>
      </c>
      <c r="W125" s="64">
        <v>40</v>
      </c>
      <c r="X125" s="18">
        <f t="shared" si="85"/>
        <v>17851251.454596598</v>
      </c>
      <c r="Y125" s="21">
        <v>0</v>
      </c>
      <c r="Z125" s="21">
        <f t="shared" si="86"/>
        <v>0</v>
      </c>
      <c r="AA125" s="21">
        <v>0</v>
      </c>
      <c r="AB125" s="21">
        <f t="shared" si="87"/>
        <v>0</v>
      </c>
      <c r="AC125" s="21"/>
      <c r="AD125" s="21">
        <f t="shared" si="88"/>
        <v>0</v>
      </c>
      <c r="AE125" s="21"/>
      <c r="AF125" s="21">
        <f t="shared" si="89"/>
        <v>0</v>
      </c>
      <c r="AG125" s="64">
        <f t="shared" si="90"/>
        <v>0</v>
      </c>
      <c r="AH125" s="64">
        <f t="shared" si="91"/>
        <v>9150000</v>
      </c>
      <c r="AI125" s="64">
        <f t="shared" si="92"/>
        <v>0</v>
      </c>
      <c r="AJ125" s="64">
        <f t="shared" si="93"/>
        <v>11183333.333333334</v>
      </c>
      <c r="AK125" s="64">
        <f t="shared" si="94"/>
        <v>0</v>
      </c>
      <c r="AL125" s="64">
        <f t="shared" si="95"/>
        <v>114880088.2330966</v>
      </c>
    </row>
    <row r="126" spans="1:38" ht="24" x14ac:dyDescent="0.2">
      <c r="A126" s="2">
        <v>1435</v>
      </c>
      <c r="B126" s="67">
        <f>VLOOKUP($A126,'اطلاعات پرسنل'!$A$1:$AL$501,28,0)</f>
        <v>2</v>
      </c>
      <c r="C126" s="4">
        <v>45</v>
      </c>
      <c r="D126" s="5" t="str">
        <f>VLOOKUP($A126,'اطلاعات پرسنل'!$A$1:$AL$301,3,0)</f>
        <v xml:space="preserve">رسول </v>
      </c>
      <c r="E126" s="5" t="str">
        <f>VLOOKUP($A126,'اطلاعات پرسنل'!$A$1:$AL$111,4,0)</f>
        <v>فرهنگی</v>
      </c>
      <c r="F126" s="25">
        <f>VLOOKUP($A126,'اطلاعات پرسنل'!$A$1:$AL$511,34,0)</f>
        <v>2</v>
      </c>
      <c r="G126" s="19">
        <v>0</v>
      </c>
      <c r="H126" s="139">
        <f t="shared" si="80"/>
        <v>30.5</v>
      </c>
      <c r="I126" s="64">
        <f>VLOOKUP($A126,'اطلاعات پرسنل'!$A$1:$BW$111,21,0)</f>
        <v>0</v>
      </c>
      <c r="J126" s="64">
        <f>VLOOKUP($A126,'اطلاعات پرسنل'!$A$1:$BW$111,41,0)</f>
        <v>2336663.8703333335</v>
      </c>
      <c r="K126" s="64">
        <v>0</v>
      </c>
      <c r="L126" s="64">
        <v>0</v>
      </c>
      <c r="M126" s="19">
        <v>0</v>
      </c>
      <c r="N126" s="64">
        <f t="shared" si="81"/>
        <v>0</v>
      </c>
      <c r="O126" s="19"/>
      <c r="P126" s="64">
        <f t="shared" si="96"/>
        <v>0</v>
      </c>
      <c r="Q126" s="64"/>
      <c r="R126" s="64"/>
      <c r="S126" s="64">
        <f t="shared" si="82"/>
        <v>0</v>
      </c>
      <c r="T126" s="64">
        <f t="shared" si="83"/>
        <v>10793510.799999999</v>
      </c>
      <c r="U126" s="64">
        <v>0</v>
      </c>
      <c r="V126" s="18">
        <f t="shared" si="84"/>
        <v>0</v>
      </c>
      <c r="W126" s="64">
        <v>40</v>
      </c>
      <c r="X126" s="18">
        <f t="shared" si="85"/>
        <v>17843615.090925522</v>
      </c>
      <c r="Y126" s="21">
        <v>0</v>
      </c>
      <c r="Z126" s="21">
        <f t="shared" si="86"/>
        <v>0</v>
      </c>
      <c r="AA126" s="21">
        <v>0</v>
      </c>
      <c r="AB126" s="21">
        <f t="shared" si="87"/>
        <v>0</v>
      </c>
      <c r="AC126" s="21"/>
      <c r="AD126" s="21">
        <f t="shared" si="88"/>
        <v>0</v>
      </c>
      <c r="AE126" s="21"/>
      <c r="AF126" s="21">
        <f t="shared" si="89"/>
        <v>0</v>
      </c>
      <c r="AG126" s="64">
        <f t="shared" si="90"/>
        <v>0</v>
      </c>
      <c r="AH126" s="64">
        <f t="shared" si="91"/>
        <v>9150000</v>
      </c>
      <c r="AI126" s="64">
        <f t="shared" si="92"/>
        <v>0</v>
      </c>
      <c r="AJ126" s="64">
        <f t="shared" si="93"/>
        <v>11183333.333333334</v>
      </c>
      <c r="AK126" s="64">
        <f t="shared" si="94"/>
        <v>0</v>
      </c>
      <c r="AL126" s="64">
        <f t="shared" si="95"/>
        <v>120238707.26942553</v>
      </c>
    </row>
    <row r="127" spans="1:38" ht="24" x14ac:dyDescent="0.2">
      <c r="A127" s="2">
        <v>1437</v>
      </c>
      <c r="B127" s="67">
        <f>VLOOKUP($A127,'اطلاعات پرسنل'!$A$1:$AL$501,28,0)</f>
        <v>1</v>
      </c>
      <c r="C127" s="6">
        <v>46</v>
      </c>
      <c r="D127" s="5" t="str">
        <f>VLOOKUP($A127,'اطلاعات پرسنل'!$A$1:$AL$301,3,0)</f>
        <v xml:space="preserve">نوروزعلی </v>
      </c>
      <c r="E127" s="5" t="str">
        <f>VLOOKUP($A127,'اطلاعات پرسنل'!$A$1:$AL$111,4,0)</f>
        <v>قربانی</v>
      </c>
      <c r="F127" s="25" t="str">
        <f>VLOOKUP($A127,'اطلاعات پرسنل'!$A$1:$AL$511,34,0)</f>
        <v>7</v>
      </c>
      <c r="G127" s="19">
        <v>0</v>
      </c>
      <c r="H127" s="139">
        <f t="shared" si="80"/>
        <v>30.5</v>
      </c>
      <c r="I127" s="64">
        <f>VLOOKUP($A127,'اطلاعات پرسنل'!$A$1:$BW$111,21,0)</f>
        <v>0</v>
      </c>
      <c r="J127" s="64">
        <f>VLOOKUP($A127,'اطلاعات پرسنل'!$A$1:$BW$111,41,0)</f>
        <v>2337663.8703333335</v>
      </c>
      <c r="K127" s="64">
        <v>0</v>
      </c>
      <c r="L127" s="64">
        <v>0</v>
      </c>
      <c r="M127" s="19">
        <v>0</v>
      </c>
      <c r="N127" s="64">
        <f t="shared" si="81"/>
        <v>0</v>
      </c>
      <c r="O127" s="19"/>
      <c r="P127" s="64">
        <f t="shared" si="96"/>
        <v>0</v>
      </c>
      <c r="Q127" s="64"/>
      <c r="R127" s="64"/>
      <c r="S127" s="64">
        <f t="shared" si="82"/>
        <v>0</v>
      </c>
      <c r="T127" s="64">
        <f t="shared" si="83"/>
        <v>5396755.3999999994</v>
      </c>
      <c r="U127" s="64">
        <v>0</v>
      </c>
      <c r="V127" s="18">
        <f t="shared" si="84"/>
        <v>0</v>
      </c>
      <c r="W127" s="64">
        <v>40</v>
      </c>
      <c r="X127" s="18">
        <f t="shared" si="85"/>
        <v>17851251.454596598</v>
      </c>
      <c r="Y127" s="21">
        <v>0</v>
      </c>
      <c r="Z127" s="21">
        <f t="shared" si="86"/>
        <v>0</v>
      </c>
      <c r="AA127" s="21">
        <v>0</v>
      </c>
      <c r="AB127" s="21">
        <f t="shared" si="87"/>
        <v>0</v>
      </c>
      <c r="AC127" s="21"/>
      <c r="AD127" s="21">
        <f t="shared" si="88"/>
        <v>0</v>
      </c>
      <c r="AE127" s="21"/>
      <c r="AF127" s="21">
        <f t="shared" si="89"/>
        <v>0</v>
      </c>
      <c r="AG127" s="64">
        <f t="shared" si="90"/>
        <v>0</v>
      </c>
      <c r="AH127" s="64">
        <f t="shared" si="91"/>
        <v>9150000</v>
      </c>
      <c r="AI127" s="64">
        <f t="shared" si="92"/>
        <v>0</v>
      </c>
      <c r="AJ127" s="64">
        <f t="shared" si="93"/>
        <v>11183333.333333334</v>
      </c>
      <c r="AK127" s="64">
        <f t="shared" si="94"/>
        <v>0</v>
      </c>
      <c r="AL127" s="64">
        <f t="shared" si="95"/>
        <v>114880088.2330966</v>
      </c>
    </row>
    <row r="128" spans="1:38" ht="24" x14ac:dyDescent="0.2">
      <c r="A128" s="2">
        <v>1446</v>
      </c>
      <c r="B128" s="67">
        <f>VLOOKUP($A128,'اطلاعات پرسنل'!$A$1:$AL$501,28,0)</f>
        <v>2</v>
      </c>
      <c r="C128" s="4">
        <v>47</v>
      </c>
      <c r="D128" s="5" t="str">
        <f>VLOOKUP($A128,'اطلاعات پرسنل'!$A$1:$AL$301,3,0)</f>
        <v xml:space="preserve">محسن </v>
      </c>
      <c r="E128" s="5" t="str">
        <f>VLOOKUP($A128,'اطلاعات پرسنل'!$A$1:$AL$111,4,0)</f>
        <v>مهتابی</v>
      </c>
      <c r="F128" s="25">
        <f>VLOOKUP($A128,'اطلاعات پرسنل'!$A$1:$AL$511,34,0)</f>
        <v>2</v>
      </c>
      <c r="G128" s="19">
        <v>0</v>
      </c>
      <c r="H128" s="139">
        <f t="shared" si="80"/>
        <v>30.5</v>
      </c>
      <c r="I128" s="64">
        <f>VLOOKUP($A128,'اطلاعات پرسنل'!$A$1:$BW$111,21,0)</f>
        <v>0</v>
      </c>
      <c r="J128" s="64">
        <f>VLOOKUP($A128,'اطلاعات پرسنل'!$A$1:$BW$111,41,0)</f>
        <v>2336663.8703333335</v>
      </c>
      <c r="K128" s="64">
        <v>0</v>
      </c>
      <c r="L128" s="64">
        <v>0</v>
      </c>
      <c r="M128" s="19">
        <v>0</v>
      </c>
      <c r="N128" s="64">
        <f t="shared" si="81"/>
        <v>0</v>
      </c>
      <c r="O128" s="19"/>
      <c r="P128" s="64">
        <f t="shared" si="96"/>
        <v>0</v>
      </c>
      <c r="Q128" s="64"/>
      <c r="R128" s="64"/>
      <c r="S128" s="64">
        <f t="shared" si="82"/>
        <v>0</v>
      </c>
      <c r="T128" s="64">
        <f t="shared" si="83"/>
        <v>10793510.799999999</v>
      </c>
      <c r="U128" s="64">
        <v>0</v>
      </c>
      <c r="V128" s="18">
        <f t="shared" si="84"/>
        <v>0</v>
      </c>
      <c r="W128" s="64">
        <v>40</v>
      </c>
      <c r="X128" s="18">
        <f t="shared" si="85"/>
        <v>17843615.090925522</v>
      </c>
      <c r="Y128" s="21">
        <v>0</v>
      </c>
      <c r="Z128" s="21">
        <f t="shared" si="86"/>
        <v>0</v>
      </c>
      <c r="AA128" s="21">
        <v>0</v>
      </c>
      <c r="AB128" s="21">
        <f t="shared" si="87"/>
        <v>0</v>
      </c>
      <c r="AC128" s="21"/>
      <c r="AD128" s="21">
        <f t="shared" si="88"/>
        <v>0</v>
      </c>
      <c r="AE128" s="21"/>
      <c r="AF128" s="21">
        <f t="shared" si="89"/>
        <v>0</v>
      </c>
      <c r="AG128" s="64">
        <f t="shared" si="90"/>
        <v>0</v>
      </c>
      <c r="AH128" s="64">
        <f t="shared" si="91"/>
        <v>9150000</v>
      </c>
      <c r="AI128" s="64">
        <f t="shared" si="92"/>
        <v>0</v>
      </c>
      <c r="AJ128" s="64">
        <f t="shared" si="93"/>
        <v>11183333.333333334</v>
      </c>
      <c r="AK128" s="64">
        <f t="shared" si="94"/>
        <v>0</v>
      </c>
      <c r="AL128" s="64">
        <f t="shared" si="95"/>
        <v>120238707.26942553</v>
      </c>
    </row>
    <row r="129" spans="1:41" ht="24" x14ac:dyDescent="0.2">
      <c r="A129" s="2">
        <v>1450</v>
      </c>
      <c r="B129" s="67">
        <f>VLOOKUP($A129,'اطلاعات پرسنل'!$A$1:$AL$501,28,0)</f>
        <v>3</v>
      </c>
      <c r="C129" s="6">
        <v>48</v>
      </c>
      <c r="D129" s="5" t="str">
        <f>VLOOKUP($A129,'اطلاعات پرسنل'!$A$1:$AL$301,3,0)</f>
        <v xml:space="preserve">علی </v>
      </c>
      <c r="E129" s="5" t="str">
        <f>VLOOKUP($A129,'اطلاعات پرسنل'!$A$1:$AL$111,4,0)</f>
        <v>نجاری</v>
      </c>
      <c r="F129" s="25">
        <f>VLOOKUP($A129,'اطلاعات پرسنل'!$A$1:$AL$511,34,0)</f>
        <v>2</v>
      </c>
      <c r="G129" s="19">
        <v>0</v>
      </c>
      <c r="H129" s="139">
        <f t="shared" si="80"/>
        <v>30.5</v>
      </c>
      <c r="I129" s="64">
        <f>VLOOKUP($A129,'اطلاعات پرسنل'!$A$1:$BW$111,21,0)</f>
        <v>0</v>
      </c>
      <c r="J129" s="64">
        <f>VLOOKUP($A129,'اطلاعات پرسنل'!$A$1:$BW$111,41,0)</f>
        <v>2336663.8703333335</v>
      </c>
      <c r="K129" s="64">
        <v>0</v>
      </c>
      <c r="L129" s="64">
        <v>0</v>
      </c>
      <c r="M129" s="19">
        <v>0</v>
      </c>
      <c r="N129" s="64">
        <f t="shared" si="81"/>
        <v>0</v>
      </c>
      <c r="O129" s="19"/>
      <c r="P129" s="64">
        <f t="shared" si="96"/>
        <v>0</v>
      </c>
      <c r="Q129" s="64"/>
      <c r="R129" s="64"/>
      <c r="S129" s="64">
        <f t="shared" si="82"/>
        <v>0</v>
      </c>
      <c r="T129" s="64">
        <f t="shared" si="83"/>
        <v>16190266.200000001</v>
      </c>
      <c r="U129" s="64">
        <v>0</v>
      </c>
      <c r="V129" s="18">
        <f t="shared" si="84"/>
        <v>0</v>
      </c>
      <c r="W129" s="64">
        <v>40</v>
      </c>
      <c r="X129" s="18">
        <f t="shared" si="85"/>
        <v>17843615.090925522</v>
      </c>
      <c r="Y129" s="21">
        <v>0</v>
      </c>
      <c r="Z129" s="21">
        <f t="shared" si="86"/>
        <v>0</v>
      </c>
      <c r="AA129" s="21">
        <v>0</v>
      </c>
      <c r="AB129" s="21">
        <f t="shared" si="87"/>
        <v>0</v>
      </c>
      <c r="AC129" s="21"/>
      <c r="AD129" s="21">
        <f t="shared" si="88"/>
        <v>0</v>
      </c>
      <c r="AE129" s="21"/>
      <c r="AF129" s="21">
        <f t="shared" si="89"/>
        <v>0</v>
      </c>
      <c r="AG129" s="64">
        <f t="shared" si="90"/>
        <v>0</v>
      </c>
      <c r="AH129" s="64">
        <f t="shared" si="91"/>
        <v>9150000</v>
      </c>
      <c r="AI129" s="64">
        <f t="shared" si="92"/>
        <v>0</v>
      </c>
      <c r="AJ129" s="64">
        <f t="shared" si="93"/>
        <v>11183333.333333334</v>
      </c>
      <c r="AK129" s="64">
        <f t="shared" si="94"/>
        <v>0</v>
      </c>
      <c r="AL129" s="64">
        <f t="shared" si="95"/>
        <v>125635462.66942553</v>
      </c>
    </row>
    <row r="130" spans="1:41" ht="24" x14ac:dyDescent="0.2">
      <c r="A130" s="2">
        <v>1452</v>
      </c>
      <c r="B130" s="67">
        <f>VLOOKUP($A130,'اطلاعات پرسنل'!$A$1:$AL$501,28,0)</f>
        <v>1</v>
      </c>
      <c r="C130" s="4">
        <v>49</v>
      </c>
      <c r="D130" s="5" t="str">
        <f>VLOOKUP($A130,'اطلاعات پرسنل'!$A$1:$AL$301,3,0)</f>
        <v xml:space="preserve">قربانعلی </v>
      </c>
      <c r="E130" s="5" t="str">
        <f>VLOOKUP($A130,'اطلاعات پرسنل'!$A$1:$AL$111,4,0)</f>
        <v>نقوی دورباش</v>
      </c>
      <c r="F130" s="25">
        <f>VLOOKUP($A130,'اطلاعات پرسنل'!$A$1:$AL$511,34,0)</f>
        <v>13</v>
      </c>
      <c r="G130" s="19">
        <v>0</v>
      </c>
      <c r="H130" s="139">
        <f t="shared" si="80"/>
        <v>30.5</v>
      </c>
      <c r="I130" s="64">
        <f>VLOOKUP($A130,'اطلاعات پرسنل'!$A$1:$BW$111,21,0)</f>
        <v>0</v>
      </c>
      <c r="J130" s="64">
        <f>VLOOKUP($A130,'اطلاعات پرسنل'!$A$1:$BW$111,41,0)</f>
        <v>2339263.8703333335</v>
      </c>
      <c r="K130" s="64">
        <v>0</v>
      </c>
      <c r="L130" s="64">
        <v>0</v>
      </c>
      <c r="M130" s="19">
        <v>0</v>
      </c>
      <c r="N130" s="64">
        <f t="shared" si="81"/>
        <v>0</v>
      </c>
      <c r="O130" s="19"/>
      <c r="P130" s="64">
        <f t="shared" si="96"/>
        <v>0</v>
      </c>
      <c r="Q130" s="64"/>
      <c r="R130" s="64"/>
      <c r="S130" s="64">
        <f t="shared" si="82"/>
        <v>0</v>
      </c>
      <c r="T130" s="64">
        <f t="shared" si="83"/>
        <v>5396755.3999999994</v>
      </c>
      <c r="U130" s="64">
        <v>0</v>
      </c>
      <c r="V130" s="18">
        <f t="shared" si="84"/>
        <v>0</v>
      </c>
      <c r="W130" s="64">
        <v>80</v>
      </c>
      <c r="X130" s="18">
        <f t="shared" si="85"/>
        <v>35726939.272940636</v>
      </c>
      <c r="Y130" s="21">
        <v>0</v>
      </c>
      <c r="Z130" s="21">
        <f t="shared" si="86"/>
        <v>0</v>
      </c>
      <c r="AA130" s="21">
        <v>0</v>
      </c>
      <c r="AB130" s="21">
        <f t="shared" si="87"/>
        <v>0</v>
      </c>
      <c r="AC130" s="21"/>
      <c r="AD130" s="21">
        <f t="shared" si="88"/>
        <v>0</v>
      </c>
      <c r="AE130" s="21"/>
      <c r="AF130" s="21">
        <f t="shared" si="89"/>
        <v>0</v>
      </c>
      <c r="AG130" s="64">
        <f t="shared" si="90"/>
        <v>0</v>
      </c>
      <c r="AH130" s="64">
        <f t="shared" si="91"/>
        <v>9150000</v>
      </c>
      <c r="AI130" s="64">
        <f t="shared" si="92"/>
        <v>0</v>
      </c>
      <c r="AJ130" s="64">
        <f t="shared" si="93"/>
        <v>11183333.333333334</v>
      </c>
      <c r="AK130" s="64">
        <f t="shared" si="94"/>
        <v>0</v>
      </c>
      <c r="AL130" s="64">
        <f t="shared" si="95"/>
        <v>132804576.05144064</v>
      </c>
    </row>
    <row r="131" spans="1:41" ht="24" x14ac:dyDescent="0.2">
      <c r="A131" s="2">
        <v>1400</v>
      </c>
      <c r="B131" s="67">
        <f>VLOOKUP($A131,'اطلاعات پرسنل'!$A$1:$AL$501,28,0)</f>
        <v>0</v>
      </c>
      <c r="C131" s="6">
        <v>50</v>
      </c>
      <c r="D131" s="5" t="str">
        <f>VLOOKUP($A131,'اطلاعات پرسنل'!$A$1:$AL$301,3,0)</f>
        <v>منوچهر</v>
      </c>
      <c r="E131" s="5" t="str">
        <f>VLOOKUP($A131,'اطلاعات پرسنل'!$A$1:$AL$111,4,0)</f>
        <v xml:space="preserve"> امین قاقازانی</v>
      </c>
      <c r="F131" s="25">
        <f>VLOOKUP($A131,'اطلاعات پرسنل'!$A$1:$AL$511,34,0)</f>
        <v>6</v>
      </c>
      <c r="G131" s="19">
        <v>0</v>
      </c>
      <c r="H131" s="139">
        <f t="shared" si="80"/>
        <v>30.5</v>
      </c>
      <c r="I131" s="64">
        <f>VLOOKUP($A131,'اطلاعات پرسنل'!$A$1:$BW$111,21,0)</f>
        <v>0</v>
      </c>
      <c r="J131" s="64">
        <f>VLOOKUP($A131,'اطلاعات پرسنل'!$A$1:$BW$111,41,0)</f>
        <v>2073179.3810000001</v>
      </c>
      <c r="K131" s="64">
        <v>0</v>
      </c>
      <c r="L131" s="64">
        <v>0</v>
      </c>
      <c r="M131" s="19">
        <v>0</v>
      </c>
      <c r="N131" s="64">
        <f t="shared" si="81"/>
        <v>0</v>
      </c>
      <c r="O131" s="19">
        <f>H131</f>
        <v>30.5</v>
      </c>
      <c r="P131" s="64">
        <f>J131*15%*O131</f>
        <v>9484795.668074999</v>
      </c>
      <c r="Q131" s="64"/>
      <c r="R131" s="64"/>
      <c r="S131" s="64">
        <f t="shared" si="82"/>
        <v>0</v>
      </c>
      <c r="T131" s="64">
        <f t="shared" si="83"/>
        <v>0</v>
      </c>
      <c r="U131" s="64">
        <v>0</v>
      </c>
      <c r="V131" s="18">
        <f t="shared" si="84"/>
        <v>0</v>
      </c>
      <c r="W131" s="64">
        <v>60</v>
      </c>
      <c r="X131" s="18">
        <f t="shared" si="85"/>
        <v>23747327.563033305</v>
      </c>
      <c r="Y131" s="21">
        <v>0</v>
      </c>
      <c r="Z131" s="21">
        <f t="shared" si="86"/>
        <v>0</v>
      </c>
      <c r="AA131" s="21">
        <v>0</v>
      </c>
      <c r="AB131" s="21">
        <f t="shared" si="87"/>
        <v>0</v>
      </c>
      <c r="AC131" s="21"/>
      <c r="AD131" s="21">
        <f t="shared" si="88"/>
        <v>0</v>
      </c>
      <c r="AE131" s="21"/>
      <c r="AF131" s="21">
        <f t="shared" si="89"/>
        <v>0</v>
      </c>
      <c r="AG131" s="64">
        <f t="shared" si="90"/>
        <v>0</v>
      </c>
      <c r="AH131" s="64">
        <f t="shared" si="91"/>
        <v>9150000</v>
      </c>
      <c r="AI131" s="64">
        <f t="shared" si="92"/>
        <v>0</v>
      </c>
      <c r="AJ131" s="64">
        <f t="shared" si="93"/>
        <v>11183333.333333334</v>
      </c>
      <c r="AK131" s="64">
        <f t="shared" si="94"/>
        <v>0</v>
      </c>
      <c r="AL131" s="64">
        <f t="shared" si="95"/>
        <v>116797427.68494163</v>
      </c>
    </row>
    <row r="132" spans="1:41" ht="24" x14ac:dyDescent="0.2">
      <c r="A132" s="2">
        <v>1416</v>
      </c>
      <c r="B132" s="67">
        <f>VLOOKUP($A132,'اطلاعات پرسنل'!$A$1:$AL$501,28,0)</f>
        <v>2</v>
      </c>
      <c r="C132" s="4">
        <v>51</v>
      </c>
      <c r="D132" s="5" t="str">
        <f>VLOOKUP($A132,'اطلاعات پرسنل'!$A$1:$AL$301,3,0)</f>
        <v xml:space="preserve">هاشم </v>
      </c>
      <c r="E132" s="5" t="str">
        <f>VLOOKUP($A132,'اطلاعات پرسنل'!$A$1:$AL$111,4,0)</f>
        <v>چگینی</v>
      </c>
      <c r="F132" s="25">
        <f>VLOOKUP($A132,'اطلاعات پرسنل'!$A$1:$AL$511,34,0)</f>
        <v>13</v>
      </c>
      <c r="G132" s="19">
        <v>0</v>
      </c>
      <c r="H132" s="139">
        <f t="shared" si="80"/>
        <v>30.5</v>
      </c>
      <c r="I132" s="64">
        <f>VLOOKUP($A132,'اطلاعات پرسنل'!$A$1:$BW$111,21,0)</f>
        <v>0</v>
      </c>
      <c r="J132" s="64">
        <f>VLOOKUP($A132,'اطلاعات پرسنل'!$A$1:$BW$111,41,0)</f>
        <v>2339263.8703333335</v>
      </c>
      <c r="K132" s="64">
        <v>0</v>
      </c>
      <c r="L132" s="64">
        <v>0</v>
      </c>
      <c r="M132" s="19">
        <v>0</v>
      </c>
      <c r="N132" s="64">
        <f t="shared" si="81"/>
        <v>0</v>
      </c>
      <c r="O132" s="19"/>
      <c r="P132" s="64">
        <f>K132*22.5%*O132</f>
        <v>0</v>
      </c>
      <c r="Q132" s="64"/>
      <c r="R132" s="64"/>
      <c r="S132" s="64">
        <f t="shared" si="82"/>
        <v>0</v>
      </c>
      <c r="T132" s="64">
        <f t="shared" si="83"/>
        <v>10793510.799999999</v>
      </c>
      <c r="U132" s="64">
        <v>0</v>
      </c>
      <c r="V132" s="18">
        <f t="shared" si="84"/>
        <v>0</v>
      </c>
      <c r="W132" s="64">
        <v>80</v>
      </c>
      <c r="X132" s="18">
        <f t="shared" si="85"/>
        <v>35726939.272940636</v>
      </c>
      <c r="Y132" s="21">
        <v>0</v>
      </c>
      <c r="Z132" s="21">
        <f t="shared" si="86"/>
        <v>0</v>
      </c>
      <c r="AA132" s="21">
        <v>0</v>
      </c>
      <c r="AB132" s="21">
        <f t="shared" si="87"/>
        <v>0</v>
      </c>
      <c r="AC132" s="21"/>
      <c r="AD132" s="21">
        <f t="shared" si="88"/>
        <v>0</v>
      </c>
      <c r="AE132" s="21"/>
      <c r="AF132" s="21">
        <f t="shared" si="89"/>
        <v>0</v>
      </c>
      <c r="AG132" s="64">
        <f t="shared" si="90"/>
        <v>0</v>
      </c>
      <c r="AH132" s="64">
        <f t="shared" si="91"/>
        <v>9150000</v>
      </c>
      <c r="AI132" s="64">
        <f t="shared" si="92"/>
        <v>0</v>
      </c>
      <c r="AJ132" s="64">
        <f t="shared" si="93"/>
        <v>11183333.333333334</v>
      </c>
      <c r="AK132" s="64">
        <f t="shared" si="94"/>
        <v>0</v>
      </c>
      <c r="AL132" s="64">
        <f t="shared" si="95"/>
        <v>138201331.45144063</v>
      </c>
    </row>
    <row r="133" spans="1:41" ht="24" x14ac:dyDescent="0.2">
      <c r="A133" s="2">
        <v>1420</v>
      </c>
      <c r="B133" s="67">
        <f>VLOOKUP($A133,'اطلاعات پرسنل'!$A$1:$AL$501,28,0)</f>
        <v>0</v>
      </c>
      <c r="C133" s="6">
        <v>52</v>
      </c>
      <c r="D133" s="5" t="str">
        <f>VLOOKUP($A133,'اطلاعات پرسنل'!$A$1:$AL$301,3,0)</f>
        <v xml:space="preserve">احمد </v>
      </c>
      <c r="E133" s="5" t="str">
        <f>VLOOKUP($A133,'اطلاعات پرسنل'!$A$1:$AL$111,4,0)</f>
        <v>حق نظری</v>
      </c>
      <c r="F133" s="25">
        <f>VLOOKUP($A133,'اطلاعات پرسنل'!$A$1:$AL$511,34,0)</f>
        <v>6</v>
      </c>
      <c r="G133" s="19">
        <v>0</v>
      </c>
      <c r="H133" s="139">
        <f t="shared" si="80"/>
        <v>30.5</v>
      </c>
      <c r="I133" s="64">
        <f>VLOOKUP($A133,'اطلاعات پرسنل'!$A$1:$BW$111,21,0)</f>
        <v>0</v>
      </c>
      <c r="J133" s="64">
        <f>VLOOKUP($A133,'اطلاعات پرسنل'!$A$1:$BW$111,41,0)</f>
        <v>2003047.5389999999</v>
      </c>
      <c r="K133" s="64">
        <v>0</v>
      </c>
      <c r="L133" s="64">
        <v>0</v>
      </c>
      <c r="M133" s="19">
        <v>0</v>
      </c>
      <c r="N133" s="64">
        <f t="shared" si="81"/>
        <v>0</v>
      </c>
      <c r="O133" s="19">
        <f>H133</f>
        <v>30.5</v>
      </c>
      <c r="P133" s="64">
        <f>J133*15%*O133</f>
        <v>9163942.4909249991</v>
      </c>
      <c r="Q133" s="64"/>
      <c r="R133" s="64"/>
      <c r="S133" s="64">
        <f t="shared" si="82"/>
        <v>0</v>
      </c>
      <c r="T133" s="64">
        <f t="shared" si="83"/>
        <v>0</v>
      </c>
      <c r="U133" s="64">
        <v>0</v>
      </c>
      <c r="V133" s="18">
        <f t="shared" si="84"/>
        <v>0</v>
      </c>
      <c r="W133" s="64">
        <v>60</v>
      </c>
      <c r="X133" s="18">
        <f t="shared" si="85"/>
        <v>22943999.187381811</v>
      </c>
      <c r="Y133" s="21">
        <v>0</v>
      </c>
      <c r="Z133" s="21">
        <f t="shared" si="86"/>
        <v>0</v>
      </c>
      <c r="AA133" s="21">
        <v>0</v>
      </c>
      <c r="AB133" s="21">
        <f t="shared" si="87"/>
        <v>0</v>
      </c>
      <c r="AC133" s="21"/>
      <c r="AD133" s="21">
        <f t="shared" si="88"/>
        <v>0</v>
      </c>
      <c r="AE133" s="21"/>
      <c r="AF133" s="21">
        <f t="shared" si="89"/>
        <v>0</v>
      </c>
      <c r="AG133" s="64">
        <f t="shared" si="90"/>
        <v>0</v>
      </c>
      <c r="AH133" s="64">
        <f t="shared" si="91"/>
        <v>9150000</v>
      </c>
      <c r="AI133" s="64">
        <f t="shared" si="92"/>
        <v>0</v>
      </c>
      <c r="AJ133" s="64">
        <f t="shared" si="93"/>
        <v>11183333.333333334</v>
      </c>
      <c r="AK133" s="64">
        <f t="shared" si="94"/>
        <v>0</v>
      </c>
      <c r="AL133" s="64">
        <f t="shared" si="95"/>
        <v>113534224.95114012</v>
      </c>
    </row>
    <row r="134" spans="1:41" ht="24" x14ac:dyDescent="0.2">
      <c r="A134" s="2">
        <v>1429</v>
      </c>
      <c r="B134" s="67">
        <f>VLOOKUP($A134,'اطلاعات پرسنل'!$A$1:$AL$501,28,0)</f>
        <v>3</v>
      </c>
      <c r="C134" s="4">
        <v>53</v>
      </c>
      <c r="D134" s="5" t="str">
        <f>VLOOKUP($A134,'اطلاعات پرسنل'!$A$1:$AL$301,3,0)</f>
        <v xml:space="preserve">قاسم </v>
      </c>
      <c r="E134" s="5" t="str">
        <f>VLOOKUP($A134,'اطلاعات پرسنل'!$A$1:$AL$111,4,0)</f>
        <v>شکوری آذر</v>
      </c>
      <c r="F134" s="25">
        <f>VLOOKUP($A134,'اطلاعات پرسنل'!$A$1:$AL$511,34,0)</f>
        <v>7</v>
      </c>
      <c r="G134" s="19">
        <v>0</v>
      </c>
      <c r="H134" s="139">
        <f t="shared" si="80"/>
        <v>30.5</v>
      </c>
      <c r="I134" s="64">
        <f>VLOOKUP($A134,'اطلاعات پرسنل'!$A$1:$BW$111,21,0)</f>
        <v>0</v>
      </c>
      <c r="J134" s="64">
        <f>VLOOKUP($A134,'اطلاعات پرسنل'!$A$1:$BW$111,41,0)</f>
        <v>2132374.2620000001</v>
      </c>
      <c r="K134" s="64">
        <v>0</v>
      </c>
      <c r="L134" s="64">
        <v>0</v>
      </c>
      <c r="M134" s="19">
        <v>0</v>
      </c>
      <c r="N134" s="64">
        <f t="shared" si="81"/>
        <v>0</v>
      </c>
      <c r="O134" s="19"/>
      <c r="P134" s="64">
        <f>K134*22.5%*O134</f>
        <v>0</v>
      </c>
      <c r="Q134" s="64"/>
      <c r="R134" s="64"/>
      <c r="S134" s="64">
        <f t="shared" si="82"/>
        <v>0</v>
      </c>
      <c r="T134" s="64">
        <f t="shared" si="83"/>
        <v>16190266.200000001</v>
      </c>
      <c r="U134" s="64">
        <v>0</v>
      </c>
      <c r="V134" s="18">
        <f t="shared" si="84"/>
        <v>0</v>
      </c>
      <c r="W134" s="64">
        <v>40</v>
      </c>
      <c r="X134" s="18">
        <f t="shared" si="85"/>
        <v>16283585.347470844</v>
      </c>
      <c r="Y134" s="21">
        <v>0</v>
      </c>
      <c r="Z134" s="21">
        <f t="shared" si="86"/>
        <v>0</v>
      </c>
      <c r="AA134" s="21">
        <v>0</v>
      </c>
      <c r="AB134" s="21">
        <f t="shared" si="87"/>
        <v>0</v>
      </c>
      <c r="AC134" s="21"/>
      <c r="AD134" s="21">
        <f t="shared" si="88"/>
        <v>0</v>
      </c>
      <c r="AE134" s="21"/>
      <c r="AF134" s="21">
        <f t="shared" si="89"/>
        <v>0</v>
      </c>
      <c r="AG134" s="64">
        <f t="shared" si="90"/>
        <v>0</v>
      </c>
      <c r="AH134" s="64">
        <f t="shared" si="91"/>
        <v>9150000</v>
      </c>
      <c r="AI134" s="64">
        <f t="shared" si="92"/>
        <v>0</v>
      </c>
      <c r="AJ134" s="64">
        <f t="shared" si="93"/>
        <v>11183333.333333334</v>
      </c>
      <c r="AK134" s="64">
        <f t="shared" si="94"/>
        <v>0</v>
      </c>
      <c r="AL134" s="64">
        <f t="shared" si="95"/>
        <v>117844599.87180418</v>
      </c>
    </row>
    <row r="135" spans="1:41" ht="24.75" thickBot="1" x14ac:dyDescent="0.25">
      <c r="A135" s="2">
        <v>1439</v>
      </c>
      <c r="B135" s="67">
        <f>VLOOKUP($A135,'اطلاعات پرسنل'!$A$1:$AL$501,28,0)</f>
        <v>0</v>
      </c>
      <c r="C135" s="6">
        <v>54</v>
      </c>
      <c r="D135" s="5" t="str">
        <f>VLOOKUP($A135,'اطلاعات پرسنل'!$A$1:$AL$301,3,0)</f>
        <v xml:space="preserve">میثم </v>
      </c>
      <c r="E135" s="5" t="str">
        <f>VLOOKUP($A135,'اطلاعات پرسنل'!$A$1:$AL$111,4,0)</f>
        <v>کاظمیان فرگله ده</v>
      </c>
      <c r="F135" s="25">
        <f>VLOOKUP($A135,'اطلاعات پرسنل'!$A$1:$AL$511,34,0)</f>
        <v>2</v>
      </c>
      <c r="G135" s="19">
        <v>0</v>
      </c>
      <c r="H135" s="139">
        <f t="shared" si="80"/>
        <v>30.5</v>
      </c>
      <c r="I135" s="64">
        <f>VLOOKUP($A135,'اطلاعات پرسنل'!$A$1:$BW$111,21,0)</f>
        <v>0</v>
      </c>
      <c r="J135" s="64">
        <f>VLOOKUP($A135,'اطلاعات پرسنل'!$A$1:$BW$111,41,0)</f>
        <v>2131374.2620000001</v>
      </c>
      <c r="K135" s="64">
        <v>0</v>
      </c>
      <c r="L135" s="64">
        <v>0</v>
      </c>
      <c r="M135" s="19">
        <v>0</v>
      </c>
      <c r="N135" s="64">
        <f t="shared" si="81"/>
        <v>0</v>
      </c>
      <c r="O135" s="19"/>
      <c r="P135" s="64">
        <f>K135*22.5%*O135</f>
        <v>0</v>
      </c>
      <c r="Q135" s="64"/>
      <c r="R135" s="64"/>
      <c r="S135" s="64">
        <f t="shared" si="82"/>
        <v>0</v>
      </c>
      <c r="T135" s="64">
        <f t="shared" si="83"/>
        <v>0</v>
      </c>
      <c r="U135" s="64">
        <v>0</v>
      </c>
      <c r="V135" s="18">
        <f t="shared" si="84"/>
        <v>0</v>
      </c>
      <c r="W135" s="64">
        <v>40</v>
      </c>
      <c r="X135" s="18">
        <f t="shared" si="85"/>
        <v>16275948.983799769</v>
      </c>
      <c r="Y135" s="21">
        <v>0</v>
      </c>
      <c r="Z135" s="21">
        <f t="shared" si="86"/>
        <v>0</v>
      </c>
      <c r="AA135" s="21">
        <v>0</v>
      </c>
      <c r="AB135" s="21">
        <f t="shared" si="87"/>
        <v>0</v>
      </c>
      <c r="AC135" s="21"/>
      <c r="AD135" s="21">
        <f t="shared" si="88"/>
        <v>0</v>
      </c>
      <c r="AE135" s="21"/>
      <c r="AF135" s="21">
        <f t="shared" si="89"/>
        <v>0</v>
      </c>
      <c r="AG135" s="64">
        <f t="shared" si="90"/>
        <v>0</v>
      </c>
      <c r="AH135" s="64">
        <f t="shared" si="91"/>
        <v>9150000</v>
      </c>
      <c r="AI135" s="64">
        <f t="shared" si="92"/>
        <v>0</v>
      </c>
      <c r="AJ135" s="64">
        <f t="shared" si="93"/>
        <v>11183333.333333334</v>
      </c>
      <c r="AK135" s="64">
        <f t="shared" si="94"/>
        <v>0</v>
      </c>
      <c r="AL135" s="64">
        <f t="shared" si="95"/>
        <v>101616197.3081331</v>
      </c>
    </row>
    <row r="136" spans="1:41" s="67" customFormat="1" ht="24.75" customHeight="1" thickBot="1" x14ac:dyDescent="0.25">
      <c r="C136" s="207" t="s">
        <v>24</v>
      </c>
      <c r="D136" s="208"/>
      <c r="E136" s="208"/>
      <c r="F136" s="213"/>
      <c r="G136" s="31">
        <f>SUM(G82:G135)</f>
        <v>0</v>
      </c>
      <c r="H136" s="31">
        <f>SUM(H82:H135)</f>
        <v>1647</v>
      </c>
      <c r="I136" s="31">
        <f t="shared" ref="I136:AL136" si="97">SUM(I82:I135)</f>
        <v>0</v>
      </c>
      <c r="J136" s="31">
        <f t="shared" si="97"/>
        <v>120752398.58033329</v>
      </c>
      <c r="K136" s="31">
        <f t="shared" si="97"/>
        <v>0</v>
      </c>
      <c r="L136" s="31">
        <f t="shared" si="97"/>
        <v>0</v>
      </c>
      <c r="M136" s="31">
        <f t="shared" si="97"/>
        <v>0</v>
      </c>
      <c r="N136" s="31">
        <f t="shared" si="97"/>
        <v>0</v>
      </c>
      <c r="O136" s="31">
        <f t="shared" si="97"/>
        <v>488</v>
      </c>
      <c r="P136" s="31">
        <f t="shared" si="97"/>
        <v>164293569.22592503</v>
      </c>
      <c r="Q136" s="31">
        <f t="shared" si="97"/>
        <v>0</v>
      </c>
      <c r="R136" s="31">
        <f t="shared" si="97"/>
        <v>0</v>
      </c>
      <c r="S136" s="31">
        <f t="shared" si="97"/>
        <v>0</v>
      </c>
      <c r="T136" s="31">
        <f t="shared" si="97"/>
        <v>393963144.19999999</v>
      </c>
      <c r="U136" s="31">
        <f t="shared" si="97"/>
        <v>0</v>
      </c>
      <c r="V136" s="31">
        <f t="shared" si="97"/>
        <v>0</v>
      </c>
      <c r="W136" s="31">
        <f t="shared" si="97"/>
        <v>2760</v>
      </c>
      <c r="X136" s="31">
        <f t="shared" si="97"/>
        <v>1177222216.0686462</v>
      </c>
      <c r="Y136" s="31">
        <f t="shared" si="97"/>
        <v>0</v>
      </c>
      <c r="Z136" s="31">
        <f t="shared" si="97"/>
        <v>0</v>
      </c>
      <c r="AA136" s="31">
        <f t="shared" si="97"/>
        <v>0</v>
      </c>
      <c r="AB136" s="31">
        <f t="shared" si="97"/>
        <v>0</v>
      </c>
      <c r="AC136" s="31">
        <f t="shared" si="97"/>
        <v>0</v>
      </c>
      <c r="AD136" s="31">
        <f t="shared" si="97"/>
        <v>0</v>
      </c>
      <c r="AE136" s="31">
        <f t="shared" si="97"/>
        <v>0</v>
      </c>
      <c r="AF136" s="31">
        <f t="shared" si="97"/>
        <v>0</v>
      </c>
      <c r="AG136" s="31">
        <f t="shared" si="97"/>
        <v>0</v>
      </c>
      <c r="AH136" s="31">
        <f t="shared" si="97"/>
        <v>494100000</v>
      </c>
      <c r="AI136" s="31">
        <f t="shared" si="97"/>
        <v>0</v>
      </c>
      <c r="AJ136" s="31">
        <f t="shared" si="97"/>
        <v>603899999.99999988</v>
      </c>
      <c r="AK136" s="31">
        <f t="shared" si="97"/>
        <v>0</v>
      </c>
      <c r="AL136" s="31">
        <f t="shared" si="97"/>
        <v>6516427086.1947346</v>
      </c>
    </row>
    <row r="137" spans="1:41" s="67" customFormat="1" ht="6.75" customHeight="1" thickBot="1" x14ac:dyDescent="0.25">
      <c r="C137" s="8"/>
      <c r="D137" s="8"/>
      <c r="E137" s="8"/>
      <c r="F137" s="8"/>
      <c r="G137" s="16"/>
      <c r="H137" s="16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F137" s="17"/>
      <c r="AG137" s="17"/>
      <c r="AH137" s="17"/>
      <c r="AI137" s="17"/>
      <c r="AJ137" s="17"/>
      <c r="AK137" s="17"/>
    </row>
    <row r="138" spans="1:41" s="67" customFormat="1" ht="24.75" customHeight="1" thickBot="1" x14ac:dyDescent="0.25">
      <c r="C138" s="207" t="s">
        <v>529</v>
      </c>
      <c r="D138" s="208"/>
      <c r="E138" s="208"/>
      <c r="F138" s="84">
        <v>54</v>
      </c>
      <c r="G138" s="82"/>
      <c r="H138" s="85">
        <f t="shared" ref="H138:I138" si="98">H136/$F$138</f>
        <v>30.5</v>
      </c>
      <c r="I138" s="15">
        <f t="shared" si="98"/>
        <v>0</v>
      </c>
      <c r="J138" s="15">
        <f>J136/$F$138</f>
        <v>2236155.5292654312</v>
      </c>
      <c r="K138" s="15">
        <f t="shared" ref="K138:AL138" si="99">K136/$F$138</f>
        <v>0</v>
      </c>
      <c r="L138" s="15">
        <f t="shared" si="99"/>
        <v>0</v>
      </c>
      <c r="M138" s="15">
        <f t="shared" si="99"/>
        <v>0</v>
      </c>
      <c r="N138" s="15">
        <f t="shared" si="99"/>
        <v>0</v>
      </c>
      <c r="O138" s="15">
        <f t="shared" si="99"/>
        <v>9.0370370370370363</v>
      </c>
      <c r="P138" s="15">
        <f t="shared" si="99"/>
        <v>3042473.5041837967</v>
      </c>
      <c r="Q138" s="15">
        <f t="shared" si="99"/>
        <v>0</v>
      </c>
      <c r="R138" s="15">
        <f t="shared" si="99"/>
        <v>0</v>
      </c>
      <c r="S138" s="15">
        <f t="shared" si="99"/>
        <v>0</v>
      </c>
      <c r="T138" s="15">
        <f t="shared" si="99"/>
        <v>7295613.7814814812</v>
      </c>
      <c r="U138" s="15">
        <f t="shared" si="99"/>
        <v>0</v>
      </c>
      <c r="V138" s="15">
        <f t="shared" si="99"/>
        <v>0</v>
      </c>
      <c r="W138" s="15">
        <f t="shared" si="99"/>
        <v>51.111111111111114</v>
      </c>
      <c r="X138" s="15">
        <f t="shared" si="99"/>
        <v>21800411.408678632</v>
      </c>
      <c r="Y138" s="15">
        <f t="shared" si="99"/>
        <v>0</v>
      </c>
      <c r="Z138" s="15">
        <f t="shared" si="99"/>
        <v>0</v>
      </c>
      <c r="AA138" s="15">
        <f t="shared" si="99"/>
        <v>0</v>
      </c>
      <c r="AB138" s="15">
        <f t="shared" si="99"/>
        <v>0</v>
      </c>
      <c r="AC138" s="15">
        <f t="shared" si="99"/>
        <v>0</v>
      </c>
      <c r="AD138" s="15">
        <f t="shared" si="99"/>
        <v>0</v>
      </c>
      <c r="AE138" s="15">
        <f t="shared" si="99"/>
        <v>0</v>
      </c>
      <c r="AF138" s="15">
        <f t="shared" si="99"/>
        <v>0</v>
      </c>
      <c r="AG138" s="15">
        <f t="shared" si="99"/>
        <v>0</v>
      </c>
      <c r="AH138" s="15">
        <f t="shared" si="99"/>
        <v>9150000</v>
      </c>
      <c r="AI138" s="15">
        <f t="shared" si="99"/>
        <v>0</v>
      </c>
      <c r="AJ138" s="15">
        <f t="shared" si="99"/>
        <v>11183333.33333333</v>
      </c>
      <c r="AK138" s="15">
        <f t="shared" si="99"/>
        <v>0</v>
      </c>
      <c r="AL138" s="15">
        <f t="shared" si="99"/>
        <v>120674575.67027286</v>
      </c>
      <c r="AN138" s="72"/>
      <c r="AO138" s="72">
        <v>1402</v>
      </c>
    </row>
    <row r="139" spans="1:41" s="67" customFormat="1" ht="24.75" customHeight="1" x14ac:dyDescent="0.2">
      <c r="D139" s="7"/>
      <c r="E139" s="7"/>
      <c r="G139" s="12"/>
      <c r="H139" s="12"/>
      <c r="I139" s="7"/>
      <c r="J139" s="7"/>
      <c r="AM139" s="66" t="s">
        <v>25</v>
      </c>
      <c r="AN139" s="33"/>
      <c r="AO139" s="33"/>
    </row>
    <row r="140" spans="1:41" s="67" customFormat="1" ht="24.75" customHeight="1" x14ac:dyDescent="0.2">
      <c r="D140" s="86"/>
      <c r="E140" s="7"/>
      <c r="G140" s="12"/>
      <c r="H140" s="12"/>
      <c r="AM140" s="6" t="s">
        <v>26</v>
      </c>
      <c r="AN140" s="21"/>
      <c r="AO140" s="21">
        <v>0</v>
      </c>
    </row>
    <row r="141" spans="1:41" s="67" customFormat="1" ht="24.75" customHeight="1" x14ac:dyDescent="0.2">
      <c r="D141" s="86"/>
      <c r="E141" s="7"/>
      <c r="G141" s="12"/>
      <c r="H141" s="12"/>
      <c r="AM141" s="6" t="s">
        <v>27</v>
      </c>
      <c r="AN141" s="21"/>
      <c r="AO141" s="21">
        <f>J138*5</f>
        <v>11180777.646327157</v>
      </c>
    </row>
    <row r="142" spans="1:41" s="67" customFormat="1" ht="24.75" customHeight="1" x14ac:dyDescent="0.2">
      <c r="D142" s="7"/>
      <c r="E142" s="7"/>
      <c r="G142" s="12"/>
      <c r="H142" s="12"/>
      <c r="AM142" s="23" t="s">
        <v>6</v>
      </c>
      <c r="AN142" s="22"/>
      <c r="AO142" s="22">
        <f>AO141/2</f>
        <v>5590388.8231635783</v>
      </c>
    </row>
    <row r="143" spans="1:41" s="67" customFormat="1" ht="24.75" customHeight="1" x14ac:dyDescent="0.2">
      <c r="A143" s="2"/>
      <c r="B143" s="2"/>
      <c r="D143" s="7"/>
      <c r="E143" s="7"/>
      <c r="G143" s="12"/>
      <c r="H143" s="12"/>
      <c r="AM143" s="23" t="s">
        <v>28</v>
      </c>
      <c r="AN143" s="34"/>
      <c r="AO143" s="34">
        <v>0</v>
      </c>
    </row>
    <row r="144" spans="1:41" s="67" customFormat="1" ht="24.75" customHeight="1" thickBot="1" x14ac:dyDescent="0.25">
      <c r="A144" s="2"/>
      <c r="B144" s="2"/>
      <c r="C144" s="9"/>
      <c r="D144" s="9"/>
      <c r="E144" s="9"/>
      <c r="F144" s="9"/>
      <c r="G144" s="11"/>
      <c r="H144" s="11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M144" s="23" t="s">
        <v>29</v>
      </c>
      <c r="AN144" s="22"/>
      <c r="AO144" s="22">
        <v>0</v>
      </c>
    </row>
    <row r="145" spans="1:41" s="67" customFormat="1" ht="24.75" customHeight="1" thickBot="1" x14ac:dyDescent="0.25">
      <c r="A145" s="2"/>
      <c r="B145" s="2"/>
      <c r="D145" s="7"/>
      <c r="E145" s="7"/>
      <c r="G145" s="12"/>
      <c r="H145" s="12"/>
      <c r="AM145" s="24" t="s">
        <v>30</v>
      </c>
      <c r="AN145" s="20"/>
      <c r="AO145" s="20">
        <f>SUM(AO139:AO144)+AL138</f>
        <v>137445742.13976359</v>
      </c>
    </row>
    <row r="146" spans="1:41" ht="18.75" thickBot="1" x14ac:dyDescent="0.25"/>
    <row r="147" spans="1:41" ht="18.75" thickBot="1" x14ac:dyDescent="0.25">
      <c r="A147" s="10"/>
      <c r="F147" s="209" t="s">
        <v>181</v>
      </c>
      <c r="G147" s="211" t="s">
        <v>335</v>
      </c>
      <c r="H147" s="211" t="s">
        <v>336</v>
      </c>
      <c r="I147" s="197" t="s">
        <v>17</v>
      </c>
      <c r="J147" s="198"/>
      <c r="K147" s="202" t="s">
        <v>9</v>
      </c>
      <c r="L147" s="202" t="s">
        <v>23</v>
      </c>
      <c r="M147" s="204" t="s">
        <v>18</v>
      </c>
      <c r="N147" s="205"/>
      <c r="O147" s="205"/>
      <c r="P147" s="206"/>
      <c r="Q147" s="202" t="s">
        <v>70</v>
      </c>
      <c r="R147" s="202" t="s">
        <v>69</v>
      </c>
      <c r="S147" s="197" t="s">
        <v>19</v>
      </c>
      <c r="T147" s="198"/>
      <c r="U147" s="199" t="s">
        <v>20</v>
      </c>
      <c r="V147" s="200"/>
      <c r="W147" s="200"/>
      <c r="X147" s="201"/>
      <c r="Y147" s="199" t="s">
        <v>180</v>
      </c>
      <c r="Z147" s="200"/>
      <c r="AA147" s="200" t="s">
        <v>180</v>
      </c>
      <c r="AB147" s="201"/>
      <c r="AC147" s="199" t="s">
        <v>332</v>
      </c>
      <c r="AD147" s="200"/>
      <c r="AE147" s="200" t="s">
        <v>332</v>
      </c>
      <c r="AF147" s="201"/>
      <c r="AG147" s="197" t="s">
        <v>21</v>
      </c>
      <c r="AH147" s="198"/>
      <c r="AI147" s="197" t="s">
        <v>22</v>
      </c>
      <c r="AJ147" s="198"/>
      <c r="AK147" s="197" t="s">
        <v>24</v>
      </c>
      <c r="AL147" s="198" t="s">
        <v>24</v>
      </c>
    </row>
    <row r="148" spans="1:41" ht="18.75" thickBot="1" x14ac:dyDescent="0.25">
      <c r="B148" s="2" t="s">
        <v>35</v>
      </c>
      <c r="F148" s="210"/>
      <c r="G148" s="212"/>
      <c r="H148" s="212"/>
      <c r="I148" s="137">
        <v>1401</v>
      </c>
      <c r="J148" s="137">
        <v>1402</v>
      </c>
      <c r="K148" s="203"/>
      <c r="L148" s="203"/>
      <c r="M148" s="83" t="s">
        <v>181</v>
      </c>
      <c r="N148" s="63" t="s">
        <v>337</v>
      </c>
      <c r="O148" s="83" t="s">
        <v>181</v>
      </c>
      <c r="P148" s="63" t="s">
        <v>338</v>
      </c>
      <c r="Q148" s="203"/>
      <c r="R148" s="203"/>
      <c r="S148" s="137">
        <v>1401</v>
      </c>
      <c r="T148" s="137">
        <v>1402</v>
      </c>
      <c r="U148" s="83" t="s">
        <v>181</v>
      </c>
      <c r="V148" s="63" t="s">
        <v>337</v>
      </c>
      <c r="W148" s="83" t="s">
        <v>181</v>
      </c>
      <c r="X148" s="63" t="s">
        <v>338</v>
      </c>
      <c r="Y148" s="83" t="s">
        <v>181</v>
      </c>
      <c r="Z148" s="63" t="s">
        <v>337</v>
      </c>
      <c r="AA148" s="83" t="s">
        <v>181</v>
      </c>
      <c r="AB148" s="63" t="s">
        <v>338</v>
      </c>
      <c r="AC148" s="83" t="s">
        <v>181</v>
      </c>
      <c r="AD148" s="63" t="s">
        <v>337</v>
      </c>
      <c r="AE148" s="83" t="s">
        <v>181</v>
      </c>
      <c r="AF148" s="63" t="s">
        <v>338</v>
      </c>
      <c r="AG148" s="137">
        <v>1401</v>
      </c>
      <c r="AH148" s="137">
        <v>1402</v>
      </c>
      <c r="AI148" s="137">
        <v>1401</v>
      </c>
      <c r="AJ148" s="137">
        <v>1402</v>
      </c>
      <c r="AK148" s="137">
        <v>1403</v>
      </c>
      <c r="AL148" s="137">
        <v>1404</v>
      </c>
    </row>
    <row r="149" spans="1:41" ht="24.75" thickBot="1" x14ac:dyDescent="0.25">
      <c r="F149" s="165"/>
      <c r="G149" s="166"/>
      <c r="H149" s="15">
        <f>H69+H40</f>
        <v>1311.5</v>
      </c>
      <c r="I149" s="167"/>
      <c r="J149" s="15">
        <f>J69+J40</f>
        <v>87816383.789999992</v>
      </c>
      <c r="K149" s="167"/>
      <c r="L149" s="167"/>
      <c r="M149" s="168"/>
      <c r="N149" s="169"/>
      <c r="O149" s="170">
        <f>O69+O40</f>
        <v>213.5</v>
      </c>
      <c r="P149" s="15">
        <f>P69+P40</f>
        <v>100280327.37300001</v>
      </c>
      <c r="Q149" s="167"/>
      <c r="R149" s="167"/>
      <c r="S149" s="167"/>
      <c r="T149" s="15">
        <f>T69+T40</f>
        <v>275234525.39999998</v>
      </c>
      <c r="U149" s="168"/>
      <c r="V149" s="169"/>
      <c r="W149" s="85">
        <f t="shared" ref="W149:X149" si="100">W69+W40</f>
        <v>1718</v>
      </c>
      <c r="X149" s="15">
        <f t="shared" si="100"/>
        <v>696135820.78370833</v>
      </c>
      <c r="Y149" s="168"/>
      <c r="Z149" s="169"/>
      <c r="AA149" s="85">
        <f t="shared" ref="AA149:AB149" si="101">AA69+AA40</f>
        <v>294</v>
      </c>
      <c r="AB149" s="15">
        <f t="shared" si="101"/>
        <v>164179783.52714446</v>
      </c>
      <c r="AC149" s="168"/>
      <c r="AD149" s="169"/>
      <c r="AE149" s="85">
        <f t="shared" ref="AE149:AF149" si="102">AE69+AE40</f>
        <v>10</v>
      </c>
      <c r="AF149" s="15">
        <f t="shared" si="102"/>
        <v>21572202.899999999</v>
      </c>
      <c r="AG149" s="167"/>
      <c r="AH149" s="15">
        <f>AH69+AH40</f>
        <v>393450000</v>
      </c>
      <c r="AI149" s="167"/>
      <c r="AJ149" s="15">
        <f>AJ69+AJ40</f>
        <v>480883333.33333331</v>
      </c>
      <c r="AK149" s="167"/>
      <c r="AL149" s="15">
        <f>AL69+AL40</f>
        <v>4810135698.9121866</v>
      </c>
    </row>
    <row r="150" spans="1:41" s="67" customFormat="1" ht="24.75" customHeight="1" thickBot="1" x14ac:dyDescent="0.25">
      <c r="C150" s="207" t="s">
        <v>533</v>
      </c>
      <c r="D150" s="208"/>
      <c r="E150" s="208"/>
      <c r="F150" s="84">
        <f>F71+F43</f>
        <v>43</v>
      </c>
      <c r="G150" s="82"/>
      <c r="H150" s="85">
        <f>H149/F150</f>
        <v>30.5</v>
      </c>
      <c r="I150" s="15"/>
      <c r="J150" s="15">
        <f>(J149)/$F$150</f>
        <v>2042241.4834883718</v>
      </c>
      <c r="K150" s="15"/>
      <c r="L150" s="15"/>
      <c r="M150" s="85"/>
      <c r="N150" s="15"/>
      <c r="O150" s="85">
        <f t="shared" ref="O150" si="103">(O69+O40)/$F$150</f>
        <v>4.9651162790697674</v>
      </c>
      <c r="P150" s="15">
        <f>(P149)/$F$150</f>
        <v>2332100.6365813958</v>
      </c>
      <c r="Q150" s="15"/>
      <c r="R150" s="15"/>
      <c r="S150" s="15"/>
      <c r="T150" s="15">
        <f>(T149)/$F$150</f>
        <v>6400802.9162790691</v>
      </c>
      <c r="U150" s="85"/>
      <c r="V150" s="15"/>
      <c r="W150" s="85">
        <f t="shared" ref="W150:X150" si="104">(W149)/$F$150</f>
        <v>39.953488372093027</v>
      </c>
      <c r="X150" s="15">
        <f t="shared" si="104"/>
        <v>16189205.134504845</v>
      </c>
      <c r="Y150" s="85"/>
      <c r="Z150" s="15"/>
      <c r="AA150" s="85">
        <f t="shared" ref="AA150:AB150" si="105">(AA149)/$F$150</f>
        <v>6.8372093023255811</v>
      </c>
      <c r="AB150" s="15">
        <f t="shared" si="105"/>
        <v>3818134.5006312667</v>
      </c>
      <c r="AC150" s="85"/>
      <c r="AD150" s="15"/>
      <c r="AE150" s="85">
        <f t="shared" ref="AE150:AF150" si="106">(AE149)/$F$150</f>
        <v>0.23255813953488372</v>
      </c>
      <c r="AF150" s="15">
        <f t="shared" si="106"/>
        <v>501679.13720930228</v>
      </c>
      <c r="AG150" s="15"/>
      <c r="AH150" s="15">
        <f>(AH149)/$F$150</f>
        <v>9150000</v>
      </c>
      <c r="AI150" s="15"/>
      <c r="AJ150" s="15">
        <f>(AJ149)/$F$150</f>
        <v>11183333.333333332</v>
      </c>
      <c r="AK150" s="15"/>
      <c r="AL150" s="15">
        <f>(AL149)/$F$150</f>
        <v>111863620.90493457</v>
      </c>
    </row>
    <row r="151" spans="1:41" ht="24" x14ac:dyDescent="0.2">
      <c r="AM151" s="66" t="s">
        <v>25</v>
      </c>
      <c r="AN151" s="33"/>
      <c r="AO151" s="33"/>
    </row>
    <row r="152" spans="1:41" ht="24" x14ac:dyDescent="0.2">
      <c r="AM152" s="6" t="s">
        <v>26</v>
      </c>
      <c r="AN152" s="21"/>
      <c r="AO152" s="21">
        <v>0</v>
      </c>
    </row>
    <row r="153" spans="1:41" ht="24" x14ac:dyDescent="0.2">
      <c r="AM153" s="6" t="s">
        <v>27</v>
      </c>
      <c r="AN153" s="21"/>
      <c r="AO153" s="21">
        <f>J150*5</f>
        <v>10211207.41744186</v>
      </c>
    </row>
    <row r="154" spans="1:41" ht="24" x14ac:dyDescent="0.2">
      <c r="AM154" s="23" t="s">
        <v>6</v>
      </c>
      <c r="AN154" s="22"/>
      <c r="AO154" s="22">
        <f>AO153/2</f>
        <v>5105603.7087209299</v>
      </c>
    </row>
    <row r="155" spans="1:41" ht="24" x14ac:dyDescent="0.2">
      <c r="AM155" s="23" t="s">
        <v>28</v>
      </c>
      <c r="AN155" s="34"/>
      <c r="AO155" s="34">
        <v>0</v>
      </c>
    </row>
    <row r="156" spans="1:41" ht="24.75" thickBot="1" x14ac:dyDescent="0.25">
      <c r="AM156" s="23" t="s">
        <v>29</v>
      </c>
      <c r="AN156" s="22"/>
      <c r="AO156" s="22">
        <v>0</v>
      </c>
    </row>
    <row r="157" spans="1:41" ht="24.75" thickBot="1" x14ac:dyDescent="0.25">
      <c r="AM157" s="24" t="s">
        <v>30</v>
      </c>
      <c r="AN157" s="20"/>
      <c r="AO157" s="20">
        <f>SUM(AO151:AO156)+AL150</f>
        <v>127180432.03109735</v>
      </c>
    </row>
    <row r="158" spans="1:41" ht="20.25" customHeight="1" x14ac:dyDescent="0.2"/>
    <row r="159" spans="1:41" ht="20.25" customHeight="1" thickBot="1" x14ac:dyDescent="0.25"/>
    <row r="160" spans="1:41" ht="18.75" thickBot="1" x14ac:dyDescent="0.25">
      <c r="A160" s="10"/>
      <c r="F160" s="209" t="s">
        <v>181</v>
      </c>
      <c r="G160" s="211" t="s">
        <v>335</v>
      </c>
      <c r="H160" s="211" t="s">
        <v>336</v>
      </c>
      <c r="I160" s="197" t="s">
        <v>17</v>
      </c>
      <c r="J160" s="198"/>
      <c r="K160" s="202" t="s">
        <v>9</v>
      </c>
      <c r="L160" s="202" t="s">
        <v>23</v>
      </c>
      <c r="M160" s="204" t="s">
        <v>18</v>
      </c>
      <c r="N160" s="205"/>
      <c r="O160" s="205"/>
      <c r="P160" s="206"/>
      <c r="Q160" s="202" t="s">
        <v>70</v>
      </c>
      <c r="R160" s="202" t="s">
        <v>69</v>
      </c>
      <c r="S160" s="197" t="s">
        <v>19</v>
      </c>
      <c r="T160" s="198"/>
      <c r="U160" s="199" t="s">
        <v>20</v>
      </c>
      <c r="V160" s="200"/>
      <c r="W160" s="200"/>
      <c r="X160" s="201"/>
      <c r="Y160" s="199" t="s">
        <v>180</v>
      </c>
      <c r="Z160" s="200"/>
      <c r="AA160" s="200" t="s">
        <v>180</v>
      </c>
      <c r="AB160" s="201"/>
      <c r="AC160" s="199" t="s">
        <v>332</v>
      </c>
      <c r="AD160" s="200"/>
      <c r="AE160" s="200" t="s">
        <v>332</v>
      </c>
      <c r="AF160" s="201"/>
      <c r="AG160" s="197" t="s">
        <v>21</v>
      </c>
      <c r="AH160" s="198"/>
      <c r="AI160" s="197" t="s">
        <v>22</v>
      </c>
      <c r="AJ160" s="198"/>
      <c r="AK160" s="197" t="s">
        <v>24</v>
      </c>
      <c r="AL160" s="198" t="s">
        <v>24</v>
      </c>
    </row>
    <row r="161" spans="1:41" ht="18.75" thickBot="1" x14ac:dyDescent="0.25">
      <c r="B161" s="2" t="s">
        <v>35</v>
      </c>
      <c r="F161" s="210"/>
      <c r="G161" s="212"/>
      <c r="H161" s="212"/>
      <c r="I161" s="137">
        <v>1401</v>
      </c>
      <c r="J161" s="137">
        <v>1402</v>
      </c>
      <c r="K161" s="203"/>
      <c r="L161" s="203"/>
      <c r="M161" s="83" t="s">
        <v>181</v>
      </c>
      <c r="N161" s="63" t="s">
        <v>337</v>
      </c>
      <c r="O161" s="83" t="s">
        <v>181</v>
      </c>
      <c r="P161" s="63" t="s">
        <v>338</v>
      </c>
      <c r="Q161" s="203"/>
      <c r="R161" s="203"/>
      <c r="S161" s="137">
        <v>1401</v>
      </c>
      <c r="T161" s="137">
        <v>1402</v>
      </c>
      <c r="U161" s="83" t="s">
        <v>181</v>
      </c>
      <c r="V161" s="63" t="s">
        <v>337</v>
      </c>
      <c r="W161" s="83" t="s">
        <v>181</v>
      </c>
      <c r="X161" s="63" t="s">
        <v>338</v>
      </c>
      <c r="Y161" s="83" t="s">
        <v>181</v>
      </c>
      <c r="Z161" s="63" t="s">
        <v>337</v>
      </c>
      <c r="AA161" s="83" t="s">
        <v>181</v>
      </c>
      <c r="AB161" s="63" t="s">
        <v>338</v>
      </c>
      <c r="AC161" s="83" t="s">
        <v>181</v>
      </c>
      <c r="AD161" s="63" t="s">
        <v>337</v>
      </c>
      <c r="AE161" s="83" t="s">
        <v>181</v>
      </c>
      <c r="AF161" s="63" t="s">
        <v>338</v>
      </c>
      <c r="AG161" s="137">
        <v>1401</v>
      </c>
      <c r="AH161" s="137">
        <v>1402</v>
      </c>
      <c r="AI161" s="137">
        <v>1401</v>
      </c>
      <c r="AJ161" s="137">
        <v>1402</v>
      </c>
      <c r="AK161" s="137">
        <v>1403</v>
      </c>
      <c r="AL161" s="137">
        <v>1404</v>
      </c>
    </row>
    <row r="162" spans="1:41" ht="24.75" thickBot="1" x14ac:dyDescent="0.25">
      <c r="F162" s="165"/>
      <c r="G162" s="166"/>
      <c r="H162" s="85">
        <f>H149+H136</f>
        <v>2958.5</v>
      </c>
      <c r="I162" s="167"/>
      <c r="J162" s="15">
        <f>J149+J136</f>
        <v>208568782.37033328</v>
      </c>
      <c r="K162" s="167"/>
      <c r="L162" s="167"/>
      <c r="M162" s="168"/>
      <c r="N162" s="169"/>
      <c r="O162" s="85">
        <f t="shared" ref="O162:P162" si="107">O149+O136</f>
        <v>701.5</v>
      </c>
      <c r="P162" s="15">
        <f t="shared" si="107"/>
        <v>264573896.59892505</v>
      </c>
      <c r="Q162" s="167"/>
      <c r="R162" s="167"/>
      <c r="S162" s="167"/>
      <c r="T162" s="15">
        <f>T149+T136</f>
        <v>669197669.5999999</v>
      </c>
      <c r="U162" s="168"/>
      <c r="V162" s="169"/>
      <c r="W162" s="85">
        <f t="shared" ref="W162" si="108">W149+W136</f>
        <v>4478</v>
      </c>
      <c r="X162" s="15">
        <f>X149+X136</f>
        <v>1873358036.8523545</v>
      </c>
      <c r="Y162" s="168"/>
      <c r="Z162" s="169"/>
      <c r="AA162" s="85">
        <f t="shared" ref="AA162" si="109">AA149+AA136</f>
        <v>294</v>
      </c>
      <c r="AB162" s="15">
        <f>AB149+AB136</f>
        <v>164179783.52714446</v>
      </c>
      <c r="AC162" s="168"/>
      <c r="AD162" s="169"/>
      <c r="AE162" s="85">
        <f t="shared" ref="AE162" si="110">AE149+AE136</f>
        <v>10</v>
      </c>
      <c r="AF162" s="15">
        <f>AF149+AF136</f>
        <v>21572202.899999999</v>
      </c>
      <c r="AG162" s="167"/>
      <c r="AH162" s="15">
        <f>AH149+AH136</f>
        <v>887550000</v>
      </c>
      <c r="AI162" s="167"/>
      <c r="AJ162" s="15">
        <f>AJ149+AJ136</f>
        <v>1084783333.3333333</v>
      </c>
      <c r="AK162" s="167"/>
      <c r="AL162" s="15">
        <f>AL149+AL136</f>
        <v>11326562785.106922</v>
      </c>
    </row>
    <row r="163" spans="1:41" s="67" customFormat="1" ht="24.75" customHeight="1" thickBot="1" x14ac:dyDescent="0.25">
      <c r="C163" s="207" t="s">
        <v>532</v>
      </c>
      <c r="D163" s="208"/>
      <c r="E163" s="208"/>
      <c r="F163" s="84">
        <f>F138+F150</f>
        <v>97</v>
      </c>
      <c r="G163" s="82"/>
      <c r="H163" s="85">
        <f>H162/$F$163</f>
        <v>30.5</v>
      </c>
      <c r="I163" s="15"/>
      <c r="J163" s="15">
        <f>J162/$F$163</f>
        <v>2150193.6326838485</v>
      </c>
      <c r="K163" s="15"/>
      <c r="L163" s="15"/>
      <c r="M163" s="85"/>
      <c r="N163" s="15"/>
      <c r="O163" s="85">
        <f>O162/$F$163</f>
        <v>7.231958762886598</v>
      </c>
      <c r="P163" s="15">
        <f>P162/$F$163</f>
        <v>2727565.9443188151</v>
      </c>
      <c r="Q163" s="15"/>
      <c r="R163" s="15"/>
      <c r="S163" s="15"/>
      <c r="T163" s="15">
        <f>T162/$F$163</f>
        <v>6898945.0474226791</v>
      </c>
      <c r="U163" s="85"/>
      <c r="V163" s="15"/>
      <c r="W163" s="85">
        <f>W162/$F$163</f>
        <v>46.164948453608247</v>
      </c>
      <c r="X163" s="15">
        <f>X162/$F$163</f>
        <v>19312969.452086128</v>
      </c>
      <c r="Y163" s="85"/>
      <c r="Z163" s="15"/>
      <c r="AA163" s="85">
        <f>AA162/$F$163</f>
        <v>3.0309278350515463</v>
      </c>
      <c r="AB163" s="15">
        <f>AB162/$F$163</f>
        <v>1692575.0879087057</v>
      </c>
      <c r="AC163" s="85"/>
      <c r="AD163" s="15"/>
      <c r="AE163" s="85">
        <f>AE162/$F$163</f>
        <v>0.10309278350515463</v>
      </c>
      <c r="AF163" s="15">
        <f>AF162/$F$163</f>
        <v>222393.84432989688</v>
      </c>
      <c r="AG163" s="15"/>
      <c r="AH163" s="15">
        <f>AH162/$F$163</f>
        <v>9150000</v>
      </c>
      <c r="AI163" s="15"/>
      <c r="AJ163" s="15">
        <f>(AJ136+AJ69+AJ40)/$F$163</f>
        <v>11183333.333333332</v>
      </c>
      <c r="AK163" s="15"/>
      <c r="AL163" s="15">
        <f>AL162/$F$163</f>
        <v>116768688.50625692</v>
      </c>
    </row>
    <row r="164" spans="1:41" ht="24" x14ac:dyDescent="0.2">
      <c r="AM164" s="66" t="s">
        <v>25</v>
      </c>
      <c r="AN164" s="33"/>
      <c r="AO164" s="33"/>
    </row>
    <row r="165" spans="1:41" ht="24" x14ac:dyDescent="0.2">
      <c r="AM165" s="6" t="s">
        <v>26</v>
      </c>
      <c r="AN165" s="21"/>
      <c r="AO165" s="21">
        <v>0</v>
      </c>
    </row>
    <row r="166" spans="1:41" ht="24" x14ac:dyDescent="0.2">
      <c r="AM166" s="6" t="s">
        <v>27</v>
      </c>
      <c r="AN166" s="21"/>
      <c r="AO166" s="21">
        <f>J163*5</f>
        <v>10750968.163419243</v>
      </c>
    </row>
    <row r="167" spans="1:41" ht="24" x14ac:dyDescent="0.2">
      <c r="AM167" s="23" t="s">
        <v>6</v>
      </c>
      <c r="AN167" s="22"/>
      <c r="AO167" s="22">
        <f>AO166/2</f>
        <v>5375484.0817096215</v>
      </c>
    </row>
    <row r="168" spans="1:41" ht="24" x14ac:dyDescent="0.2">
      <c r="AM168" s="23" t="s">
        <v>28</v>
      </c>
      <c r="AN168" s="34"/>
      <c r="AO168" s="34">
        <v>0</v>
      </c>
    </row>
    <row r="169" spans="1:41" ht="24.75" thickBot="1" x14ac:dyDescent="0.25">
      <c r="AM169" s="23" t="s">
        <v>29</v>
      </c>
      <c r="AN169" s="22"/>
      <c r="AO169" s="22">
        <v>0</v>
      </c>
    </row>
    <row r="170" spans="1:41" ht="24.75" thickBot="1" x14ac:dyDescent="0.25">
      <c r="AM170" s="24" t="s">
        <v>30</v>
      </c>
      <c r="AN170" s="20"/>
      <c r="AO170" s="20">
        <f>SUM(AO164:AO169)+AL163</f>
        <v>132895140.75138579</v>
      </c>
    </row>
    <row r="173" spans="1:41" ht="18.75" thickBot="1" x14ac:dyDescent="0.25"/>
    <row r="174" spans="1:41" ht="18.75" thickBot="1" x14ac:dyDescent="0.25">
      <c r="A174" s="10"/>
      <c r="C174" s="214" t="s">
        <v>14</v>
      </c>
      <c r="D174" s="216" t="s">
        <v>15</v>
      </c>
      <c r="E174" s="218" t="s">
        <v>16</v>
      </c>
      <c r="F174" s="209" t="s">
        <v>51</v>
      </c>
      <c r="G174" s="211" t="s">
        <v>335</v>
      </c>
      <c r="H174" s="211" t="s">
        <v>336</v>
      </c>
      <c r="I174" s="197" t="s">
        <v>17</v>
      </c>
      <c r="J174" s="198"/>
      <c r="K174" s="202" t="s">
        <v>9</v>
      </c>
      <c r="L174" s="202" t="s">
        <v>23</v>
      </c>
      <c r="M174" s="204" t="s">
        <v>18</v>
      </c>
      <c r="N174" s="205"/>
      <c r="O174" s="205"/>
      <c r="P174" s="206"/>
      <c r="Q174" s="202" t="s">
        <v>70</v>
      </c>
      <c r="R174" s="202" t="s">
        <v>69</v>
      </c>
      <c r="S174" s="197" t="s">
        <v>19</v>
      </c>
      <c r="T174" s="198"/>
      <c r="U174" s="199" t="s">
        <v>20</v>
      </c>
      <c r="V174" s="200"/>
      <c r="W174" s="200"/>
      <c r="X174" s="201"/>
      <c r="Y174" s="199" t="s">
        <v>180</v>
      </c>
      <c r="Z174" s="200"/>
      <c r="AA174" s="200" t="s">
        <v>180</v>
      </c>
      <c r="AB174" s="201"/>
      <c r="AC174" s="199" t="s">
        <v>332</v>
      </c>
      <c r="AD174" s="200"/>
      <c r="AE174" s="200" t="s">
        <v>332</v>
      </c>
      <c r="AF174" s="201"/>
      <c r="AG174" s="197" t="s">
        <v>21</v>
      </c>
      <c r="AH174" s="198"/>
      <c r="AI174" s="197" t="s">
        <v>22</v>
      </c>
      <c r="AJ174" s="198"/>
      <c r="AK174" s="197" t="s">
        <v>24</v>
      </c>
      <c r="AL174" s="198" t="s">
        <v>24</v>
      </c>
    </row>
    <row r="175" spans="1:41" ht="18.75" thickBot="1" x14ac:dyDescent="0.25">
      <c r="B175" s="2" t="s">
        <v>35</v>
      </c>
      <c r="C175" s="215"/>
      <c r="D175" s="217"/>
      <c r="E175" s="219"/>
      <c r="F175" s="210"/>
      <c r="G175" s="212"/>
      <c r="H175" s="212"/>
      <c r="I175" s="137">
        <v>1401</v>
      </c>
      <c r="J175" s="137">
        <v>1402</v>
      </c>
      <c r="K175" s="203"/>
      <c r="L175" s="203"/>
      <c r="M175" s="83" t="s">
        <v>181</v>
      </c>
      <c r="N175" s="63" t="s">
        <v>337</v>
      </c>
      <c r="O175" s="83" t="s">
        <v>181</v>
      </c>
      <c r="P175" s="63" t="s">
        <v>338</v>
      </c>
      <c r="Q175" s="203"/>
      <c r="R175" s="203"/>
      <c r="S175" s="137">
        <v>1401</v>
      </c>
      <c r="T175" s="137">
        <v>1402</v>
      </c>
      <c r="U175" s="83" t="s">
        <v>181</v>
      </c>
      <c r="V175" s="63" t="s">
        <v>337</v>
      </c>
      <c r="W175" s="83" t="s">
        <v>181</v>
      </c>
      <c r="X175" s="63" t="s">
        <v>338</v>
      </c>
      <c r="Y175" s="83" t="s">
        <v>181</v>
      </c>
      <c r="Z175" s="63" t="s">
        <v>337</v>
      </c>
      <c r="AA175" s="83" t="s">
        <v>181</v>
      </c>
      <c r="AB175" s="63" t="s">
        <v>338</v>
      </c>
      <c r="AC175" s="83" t="s">
        <v>181</v>
      </c>
      <c r="AD175" s="63" t="s">
        <v>337</v>
      </c>
      <c r="AE175" s="83" t="s">
        <v>181</v>
      </c>
      <c r="AF175" s="63" t="s">
        <v>338</v>
      </c>
      <c r="AG175" s="137">
        <v>1401</v>
      </c>
      <c r="AH175" s="137">
        <v>1402</v>
      </c>
      <c r="AI175" s="137">
        <v>1401</v>
      </c>
      <c r="AJ175" s="137">
        <v>1402</v>
      </c>
      <c r="AK175" s="137">
        <v>1403</v>
      </c>
      <c r="AL175" s="137">
        <v>1404</v>
      </c>
    </row>
    <row r="176" spans="1:41" s="67" customFormat="1" ht="24.75" customHeight="1" x14ac:dyDescent="0.2">
      <c r="B176" s="67">
        <v>1</v>
      </c>
      <c r="C176" s="66">
        <v>1</v>
      </c>
      <c r="D176" s="68"/>
      <c r="E176" s="68"/>
      <c r="F176" s="25">
        <v>1</v>
      </c>
      <c r="G176" s="19">
        <v>0</v>
      </c>
      <c r="H176" s="139">
        <f t="shared" ref="H176:H195" si="111">$H$5</f>
        <v>30.5</v>
      </c>
      <c r="I176" s="64"/>
      <c r="J176" s="64">
        <v>1769428</v>
      </c>
      <c r="K176" s="64">
        <v>0</v>
      </c>
      <c r="L176" s="64">
        <v>0</v>
      </c>
      <c r="M176" s="19">
        <v>0</v>
      </c>
      <c r="N176" s="64">
        <f t="shared" ref="N176:N195" si="112">I176*22.5%*M176</f>
        <v>0</v>
      </c>
      <c r="O176" s="19"/>
      <c r="P176" s="64">
        <f>K176*22.5%*O176</f>
        <v>0</v>
      </c>
      <c r="Q176" s="64"/>
      <c r="R176" s="64"/>
      <c r="S176" s="64">
        <f t="shared" ref="S176:S195" si="113">B176*4179750/30*G176</f>
        <v>0</v>
      </c>
      <c r="T176" s="64">
        <f t="shared" ref="T176:T195" si="114">B176*5308284/30*H176</f>
        <v>5396755.3999999994</v>
      </c>
      <c r="U176" s="64">
        <v>0</v>
      </c>
      <c r="V176" s="18">
        <f t="shared" ref="V176:V195" si="115">I176*1.4/7.3333333*U176</f>
        <v>0</v>
      </c>
      <c r="W176" s="64"/>
      <c r="X176" s="18">
        <f t="shared" ref="X176:X195" si="116">J176*1.4/7.3333333*W176</f>
        <v>0</v>
      </c>
      <c r="Y176" s="21">
        <v>0</v>
      </c>
      <c r="Z176" s="21">
        <f t="shared" ref="Z176:Z195" si="117">I176*1.4/7.3*Y176*1.4</f>
        <v>0</v>
      </c>
      <c r="AA176" s="21">
        <v>0</v>
      </c>
      <c r="AB176" s="21">
        <f t="shared" ref="AB176:AB195" si="118">J176*1.4/7.3333333*AA176*1.4</f>
        <v>0</v>
      </c>
      <c r="AC176" s="21"/>
      <c r="AD176" s="21">
        <f t="shared" ref="AD176:AD195" si="119">AC176*I176</f>
        <v>0</v>
      </c>
      <c r="AE176" s="21"/>
      <c r="AF176" s="21">
        <f t="shared" ref="AF176:AF195" si="120">AE176*J176</f>
        <v>0</v>
      </c>
      <c r="AG176" s="64">
        <f t="shared" ref="AG176:AG195" si="121">6500000/30*G176</f>
        <v>0</v>
      </c>
      <c r="AH176" s="64">
        <f t="shared" ref="AH176:AH195" si="122">9000000/30*H176</f>
        <v>9150000</v>
      </c>
      <c r="AI176" s="64">
        <f t="shared" ref="AI176:AI195" si="123">8500000/30*G176</f>
        <v>0</v>
      </c>
      <c r="AJ176" s="64">
        <f t="shared" ref="AJ176:AJ195" si="124">11000000/30*H176</f>
        <v>11183333.333333334</v>
      </c>
      <c r="AK176" s="64">
        <f t="shared" ref="AK176:AK195" si="125">K176+L176+N176+V176+Q176+R176+S176+Z176+AG176+AI176+I176*G176+AD176</f>
        <v>0</v>
      </c>
      <c r="AL176" s="71">
        <f t="shared" ref="AL176:AL195" si="126">J176*H176+K176+L176+P176+T176+X176+AB176+AF176+AH176+AJ176</f>
        <v>79697642.733333334</v>
      </c>
    </row>
    <row r="177" spans="2:38" s="67" customFormat="1" ht="24.75" customHeight="1" x14ac:dyDescent="0.2">
      <c r="B177" s="67">
        <v>1</v>
      </c>
      <c r="C177" s="6">
        <v>2</v>
      </c>
      <c r="D177" s="5"/>
      <c r="E177" s="5"/>
      <c r="F177" s="25">
        <v>1</v>
      </c>
      <c r="G177" s="19">
        <v>0</v>
      </c>
      <c r="H177" s="139">
        <f t="shared" si="111"/>
        <v>30.5</v>
      </c>
      <c r="I177" s="64"/>
      <c r="J177" s="64">
        <v>1769428</v>
      </c>
      <c r="K177" s="64">
        <v>0</v>
      </c>
      <c r="L177" s="64">
        <v>0</v>
      </c>
      <c r="M177" s="19">
        <v>0</v>
      </c>
      <c r="N177" s="64">
        <f t="shared" si="112"/>
        <v>0</v>
      </c>
      <c r="O177" s="19"/>
      <c r="P177" s="64">
        <f>J177*15%*O177</f>
        <v>0</v>
      </c>
      <c r="Q177" s="64"/>
      <c r="R177" s="64"/>
      <c r="S177" s="64">
        <f t="shared" si="113"/>
        <v>0</v>
      </c>
      <c r="T177" s="64">
        <f t="shared" si="114"/>
        <v>5396755.3999999994</v>
      </c>
      <c r="U177" s="64">
        <v>0</v>
      </c>
      <c r="V177" s="18">
        <f t="shared" si="115"/>
        <v>0</v>
      </c>
      <c r="W177" s="64"/>
      <c r="X177" s="18">
        <f t="shared" si="116"/>
        <v>0</v>
      </c>
      <c r="Y177" s="21">
        <v>0</v>
      </c>
      <c r="Z177" s="21">
        <f t="shared" si="117"/>
        <v>0</v>
      </c>
      <c r="AA177" s="21">
        <v>0</v>
      </c>
      <c r="AB177" s="21">
        <f t="shared" si="118"/>
        <v>0</v>
      </c>
      <c r="AC177" s="21"/>
      <c r="AD177" s="21">
        <f t="shared" si="119"/>
        <v>0</v>
      </c>
      <c r="AE177" s="21"/>
      <c r="AF177" s="21">
        <f t="shared" si="120"/>
        <v>0</v>
      </c>
      <c r="AG177" s="64">
        <f t="shared" si="121"/>
        <v>0</v>
      </c>
      <c r="AH177" s="64">
        <f t="shared" si="122"/>
        <v>9150000</v>
      </c>
      <c r="AI177" s="64">
        <f t="shared" si="123"/>
        <v>0</v>
      </c>
      <c r="AJ177" s="64">
        <f t="shared" si="124"/>
        <v>11183333.333333334</v>
      </c>
      <c r="AK177" s="64">
        <f t="shared" si="125"/>
        <v>0</v>
      </c>
      <c r="AL177" s="64">
        <f t="shared" si="126"/>
        <v>79697642.733333334</v>
      </c>
    </row>
    <row r="178" spans="2:38" s="67" customFormat="1" ht="24.75" customHeight="1" x14ac:dyDescent="0.2">
      <c r="B178" s="67">
        <v>1</v>
      </c>
      <c r="C178" s="4">
        <v>3</v>
      </c>
      <c r="D178" s="5"/>
      <c r="E178" s="5"/>
      <c r="F178" s="25">
        <v>1</v>
      </c>
      <c r="G178" s="19">
        <v>0</v>
      </c>
      <c r="H178" s="139">
        <f t="shared" si="111"/>
        <v>30.5</v>
      </c>
      <c r="I178" s="64"/>
      <c r="J178" s="64">
        <v>1769428</v>
      </c>
      <c r="K178" s="64">
        <v>0</v>
      </c>
      <c r="L178" s="64">
        <v>0</v>
      </c>
      <c r="M178" s="19">
        <v>0</v>
      </c>
      <c r="N178" s="64">
        <f t="shared" si="112"/>
        <v>0</v>
      </c>
      <c r="O178" s="19"/>
      <c r="P178" s="64">
        <f>K178*22.5%*O178</f>
        <v>0</v>
      </c>
      <c r="Q178" s="64"/>
      <c r="R178" s="64"/>
      <c r="S178" s="64">
        <f t="shared" si="113"/>
        <v>0</v>
      </c>
      <c r="T178" s="64">
        <f t="shared" si="114"/>
        <v>5396755.3999999994</v>
      </c>
      <c r="U178" s="64">
        <v>0</v>
      </c>
      <c r="V178" s="18">
        <f t="shared" si="115"/>
        <v>0</v>
      </c>
      <c r="W178" s="64"/>
      <c r="X178" s="18">
        <f t="shared" si="116"/>
        <v>0</v>
      </c>
      <c r="Y178" s="21">
        <v>0</v>
      </c>
      <c r="Z178" s="21">
        <f t="shared" si="117"/>
        <v>0</v>
      </c>
      <c r="AA178" s="21">
        <v>0</v>
      </c>
      <c r="AB178" s="21">
        <f t="shared" si="118"/>
        <v>0</v>
      </c>
      <c r="AC178" s="21"/>
      <c r="AD178" s="21">
        <f t="shared" si="119"/>
        <v>0</v>
      </c>
      <c r="AE178" s="21"/>
      <c r="AF178" s="21">
        <f t="shared" si="120"/>
        <v>0</v>
      </c>
      <c r="AG178" s="64">
        <f t="shared" si="121"/>
        <v>0</v>
      </c>
      <c r="AH178" s="64">
        <f t="shared" si="122"/>
        <v>9150000</v>
      </c>
      <c r="AI178" s="64">
        <f t="shared" si="123"/>
        <v>0</v>
      </c>
      <c r="AJ178" s="64">
        <f t="shared" si="124"/>
        <v>11183333.333333334</v>
      </c>
      <c r="AK178" s="64">
        <f t="shared" si="125"/>
        <v>0</v>
      </c>
      <c r="AL178" s="64">
        <f t="shared" si="126"/>
        <v>79697642.733333334</v>
      </c>
    </row>
    <row r="179" spans="2:38" s="67" customFormat="1" ht="24.75" customHeight="1" x14ac:dyDescent="0.2">
      <c r="B179" s="67">
        <v>1</v>
      </c>
      <c r="C179" s="6">
        <v>4</v>
      </c>
      <c r="D179" s="5"/>
      <c r="E179" s="5"/>
      <c r="F179" s="25">
        <v>1</v>
      </c>
      <c r="G179" s="19">
        <v>0</v>
      </c>
      <c r="H179" s="139">
        <f t="shared" si="111"/>
        <v>30.5</v>
      </c>
      <c r="I179" s="64"/>
      <c r="J179" s="64">
        <v>1769428</v>
      </c>
      <c r="K179" s="64">
        <v>0</v>
      </c>
      <c r="L179" s="64">
        <v>0</v>
      </c>
      <c r="M179" s="19">
        <v>0</v>
      </c>
      <c r="N179" s="64">
        <f t="shared" si="112"/>
        <v>0</v>
      </c>
      <c r="O179" s="19"/>
      <c r="P179" s="64">
        <f>K179*22.5%*O179</f>
        <v>0</v>
      </c>
      <c r="Q179" s="64"/>
      <c r="R179" s="64"/>
      <c r="S179" s="64">
        <f t="shared" si="113"/>
        <v>0</v>
      </c>
      <c r="T179" s="64">
        <f t="shared" si="114"/>
        <v>5396755.3999999994</v>
      </c>
      <c r="U179" s="64">
        <v>0</v>
      </c>
      <c r="V179" s="18">
        <f t="shared" si="115"/>
        <v>0</v>
      </c>
      <c r="W179" s="64"/>
      <c r="X179" s="18">
        <f t="shared" si="116"/>
        <v>0</v>
      </c>
      <c r="Y179" s="21">
        <v>0</v>
      </c>
      <c r="Z179" s="21">
        <f t="shared" si="117"/>
        <v>0</v>
      </c>
      <c r="AA179" s="21">
        <v>0</v>
      </c>
      <c r="AB179" s="21">
        <f t="shared" si="118"/>
        <v>0</v>
      </c>
      <c r="AC179" s="21"/>
      <c r="AD179" s="21">
        <f t="shared" si="119"/>
        <v>0</v>
      </c>
      <c r="AE179" s="21"/>
      <c r="AF179" s="21">
        <f t="shared" si="120"/>
        <v>0</v>
      </c>
      <c r="AG179" s="64">
        <f t="shared" si="121"/>
        <v>0</v>
      </c>
      <c r="AH179" s="64">
        <f t="shared" si="122"/>
        <v>9150000</v>
      </c>
      <c r="AI179" s="64">
        <f t="shared" si="123"/>
        <v>0</v>
      </c>
      <c r="AJ179" s="64">
        <f t="shared" si="124"/>
        <v>11183333.333333334</v>
      </c>
      <c r="AK179" s="64">
        <f t="shared" si="125"/>
        <v>0</v>
      </c>
      <c r="AL179" s="64">
        <f t="shared" si="126"/>
        <v>79697642.733333334</v>
      </c>
    </row>
    <row r="180" spans="2:38" s="67" customFormat="1" ht="24.75" customHeight="1" x14ac:dyDescent="0.2">
      <c r="B180" s="67">
        <v>1</v>
      </c>
      <c r="C180" s="4">
        <v>5</v>
      </c>
      <c r="D180" s="5"/>
      <c r="E180" s="5"/>
      <c r="F180" s="25">
        <v>1</v>
      </c>
      <c r="G180" s="19">
        <v>0</v>
      </c>
      <c r="H180" s="139">
        <f t="shared" si="111"/>
        <v>30.5</v>
      </c>
      <c r="I180" s="64"/>
      <c r="J180" s="64">
        <v>1769428</v>
      </c>
      <c r="K180" s="64">
        <v>0</v>
      </c>
      <c r="L180" s="64">
        <v>0</v>
      </c>
      <c r="M180" s="19">
        <v>0</v>
      </c>
      <c r="N180" s="64">
        <f t="shared" si="112"/>
        <v>0</v>
      </c>
      <c r="O180" s="19"/>
      <c r="P180" s="64">
        <f>K180*22.5%*O180</f>
        <v>0</v>
      </c>
      <c r="Q180" s="64"/>
      <c r="R180" s="64"/>
      <c r="S180" s="64">
        <f t="shared" si="113"/>
        <v>0</v>
      </c>
      <c r="T180" s="64">
        <f t="shared" si="114"/>
        <v>5396755.3999999994</v>
      </c>
      <c r="U180" s="64">
        <v>0</v>
      </c>
      <c r="V180" s="18">
        <f t="shared" si="115"/>
        <v>0</v>
      </c>
      <c r="W180" s="64"/>
      <c r="X180" s="18">
        <f t="shared" si="116"/>
        <v>0</v>
      </c>
      <c r="Y180" s="21">
        <v>0</v>
      </c>
      <c r="Z180" s="21">
        <f t="shared" si="117"/>
        <v>0</v>
      </c>
      <c r="AA180" s="21">
        <v>0</v>
      </c>
      <c r="AB180" s="21">
        <f t="shared" si="118"/>
        <v>0</v>
      </c>
      <c r="AC180" s="21"/>
      <c r="AD180" s="21">
        <f t="shared" si="119"/>
        <v>0</v>
      </c>
      <c r="AE180" s="21"/>
      <c r="AF180" s="21">
        <f t="shared" si="120"/>
        <v>0</v>
      </c>
      <c r="AG180" s="64">
        <f t="shared" si="121"/>
        <v>0</v>
      </c>
      <c r="AH180" s="64">
        <f t="shared" si="122"/>
        <v>9150000</v>
      </c>
      <c r="AI180" s="64">
        <f t="shared" si="123"/>
        <v>0</v>
      </c>
      <c r="AJ180" s="64">
        <f t="shared" si="124"/>
        <v>11183333.333333334</v>
      </c>
      <c r="AK180" s="64">
        <f t="shared" si="125"/>
        <v>0</v>
      </c>
      <c r="AL180" s="64">
        <f t="shared" si="126"/>
        <v>79697642.733333334</v>
      </c>
    </row>
    <row r="181" spans="2:38" s="67" customFormat="1" ht="24.75" customHeight="1" x14ac:dyDescent="0.2">
      <c r="B181" s="67">
        <v>1</v>
      </c>
      <c r="C181" s="6">
        <v>6</v>
      </c>
      <c r="D181" s="5"/>
      <c r="E181" s="5"/>
      <c r="F181" s="25">
        <v>1</v>
      </c>
      <c r="G181" s="19">
        <v>0</v>
      </c>
      <c r="H181" s="139">
        <f t="shared" si="111"/>
        <v>30.5</v>
      </c>
      <c r="I181" s="64"/>
      <c r="J181" s="64">
        <v>1769428</v>
      </c>
      <c r="K181" s="64">
        <v>0</v>
      </c>
      <c r="L181" s="64">
        <v>0</v>
      </c>
      <c r="M181" s="19">
        <v>0</v>
      </c>
      <c r="N181" s="64">
        <f t="shared" si="112"/>
        <v>0</v>
      </c>
      <c r="O181" s="19"/>
      <c r="P181" s="64">
        <f t="shared" ref="P181:P183" si="127">J181*15%*O181</f>
        <v>0</v>
      </c>
      <c r="Q181" s="64"/>
      <c r="R181" s="64"/>
      <c r="S181" s="64">
        <f t="shared" si="113"/>
        <v>0</v>
      </c>
      <c r="T181" s="64">
        <f t="shared" si="114"/>
        <v>5396755.3999999994</v>
      </c>
      <c r="U181" s="64">
        <v>0</v>
      </c>
      <c r="V181" s="18">
        <f t="shared" si="115"/>
        <v>0</v>
      </c>
      <c r="W181" s="64"/>
      <c r="X181" s="18">
        <f t="shared" si="116"/>
        <v>0</v>
      </c>
      <c r="Y181" s="21">
        <v>0</v>
      </c>
      <c r="Z181" s="21">
        <f t="shared" si="117"/>
        <v>0</v>
      </c>
      <c r="AA181" s="21">
        <v>0</v>
      </c>
      <c r="AB181" s="21">
        <f t="shared" si="118"/>
        <v>0</v>
      </c>
      <c r="AC181" s="21"/>
      <c r="AD181" s="21">
        <f t="shared" si="119"/>
        <v>0</v>
      </c>
      <c r="AE181" s="21"/>
      <c r="AF181" s="21">
        <f t="shared" si="120"/>
        <v>0</v>
      </c>
      <c r="AG181" s="64">
        <f t="shared" si="121"/>
        <v>0</v>
      </c>
      <c r="AH181" s="64">
        <f t="shared" si="122"/>
        <v>9150000</v>
      </c>
      <c r="AI181" s="64">
        <f t="shared" si="123"/>
        <v>0</v>
      </c>
      <c r="AJ181" s="64">
        <f t="shared" si="124"/>
        <v>11183333.333333334</v>
      </c>
      <c r="AK181" s="64">
        <f t="shared" si="125"/>
        <v>0</v>
      </c>
      <c r="AL181" s="64">
        <f t="shared" si="126"/>
        <v>79697642.733333334</v>
      </c>
    </row>
    <row r="182" spans="2:38" s="67" customFormat="1" ht="24.75" customHeight="1" x14ac:dyDescent="0.2">
      <c r="B182" s="67">
        <v>1</v>
      </c>
      <c r="C182" s="4">
        <v>7</v>
      </c>
      <c r="D182" s="5"/>
      <c r="E182" s="5"/>
      <c r="F182" s="25">
        <v>1</v>
      </c>
      <c r="G182" s="19">
        <v>0</v>
      </c>
      <c r="H182" s="139">
        <f t="shared" si="111"/>
        <v>30.5</v>
      </c>
      <c r="I182" s="64"/>
      <c r="J182" s="64">
        <v>1769428</v>
      </c>
      <c r="K182" s="64">
        <v>0</v>
      </c>
      <c r="L182" s="64">
        <v>0</v>
      </c>
      <c r="M182" s="19">
        <v>0</v>
      </c>
      <c r="N182" s="64">
        <f t="shared" si="112"/>
        <v>0</v>
      </c>
      <c r="O182" s="19"/>
      <c r="P182" s="64">
        <f t="shared" si="127"/>
        <v>0</v>
      </c>
      <c r="Q182" s="64"/>
      <c r="R182" s="64"/>
      <c r="S182" s="64">
        <f t="shared" si="113"/>
        <v>0</v>
      </c>
      <c r="T182" s="64">
        <f t="shared" si="114"/>
        <v>5396755.3999999994</v>
      </c>
      <c r="U182" s="64">
        <v>0</v>
      </c>
      <c r="V182" s="18">
        <f t="shared" si="115"/>
        <v>0</v>
      </c>
      <c r="W182" s="64"/>
      <c r="X182" s="18">
        <f t="shared" si="116"/>
        <v>0</v>
      </c>
      <c r="Y182" s="21">
        <v>0</v>
      </c>
      <c r="Z182" s="21">
        <f t="shared" si="117"/>
        <v>0</v>
      </c>
      <c r="AA182" s="21">
        <v>0</v>
      </c>
      <c r="AB182" s="21">
        <f t="shared" si="118"/>
        <v>0</v>
      </c>
      <c r="AC182" s="21"/>
      <c r="AD182" s="21">
        <f t="shared" si="119"/>
        <v>0</v>
      </c>
      <c r="AE182" s="21"/>
      <c r="AF182" s="21">
        <f t="shared" si="120"/>
        <v>0</v>
      </c>
      <c r="AG182" s="64">
        <f t="shared" si="121"/>
        <v>0</v>
      </c>
      <c r="AH182" s="64">
        <f t="shared" si="122"/>
        <v>9150000</v>
      </c>
      <c r="AI182" s="64">
        <f t="shared" si="123"/>
        <v>0</v>
      </c>
      <c r="AJ182" s="64">
        <f t="shared" si="124"/>
        <v>11183333.333333334</v>
      </c>
      <c r="AK182" s="64">
        <f t="shared" si="125"/>
        <v>0</v>
      </c>
      <c r="AL182" s="64">
        <f t="shared" si="126"/>
        <v>79697642.733333334</v>
      </c>
    </row>
    <row r="183" spans="2:38" s="67" customFormat="1" ht="24.75" customHeight="1" x14ac:dyDescent="0.2">
      <c r="B183" s="67">
        <v>1</v>
      </c>
      <c r="C183" s="6">
        <v>8</v>
      </c>
      <c r="D183" s="5"/>
      <c r="E183" s="5"/>
      <c r="F183" s="25">
        <v>1</v>
      </c>
      <c r="G183" s="19">
        <v>0</v>
      </c>
      <c r="H183" s="139">
        <f t="shared" si="111"/>
        <v>30.5</v>
      </c>
      <c r="I183" s="64"/>
      <c r="J183" s="64">
        <v>1769428</v>
      </c>
      <c r="K183" s="64">
        <v>0</v>
      </c>
      <c r="L183" s="64">
        <v>0</v>
      </c>
      <c r="M183" s="19">
        <v>0</v>
      </c>
      <c r="N183" s="64">
        <f t="shared" si="112"/>
        <v>0</v>
      </c>
      <c r="O183" s="19"/>
      <c r="P183" s="64">
        <f t="shared" si="127"/>
        <v>0</v>
      </c>
      <c r="Q183" s="64"/>
      <c r="R183" s="64"/>
      <c r="S183" s="64">
        <f t="shared" si="113"/>
        <v>0</v>
      </c>
      <c r="T183" s="64">
        <f t="shared" si="114"/>
        <v>5396755.3999999994</v>
      </c>
      <c r="U183" s="64">
        <v>0</v>
      </c>
      <c r="V183" s="18">
        <f t="shared" si="115"/>
        <v>0</v>
      </c>
      <c r="W183" s="64"/>
      <c r="X183" s="18">
        <f t="shared" si="116"/>
        <v>0</v>
      </c>
      <c r="Y183" s="21">
        <v>0</v>
      </c>
      <c r="Z183" s="21">
        <f t="shared" si="117"/>
        <v>0</v>
      </c>
      <c r="AA183" s="21">
        <v>0</v>
      </c>
      <c r="AB183" s="21">
        <f t="shared" si="118"/>
        <v>0</v>
      </c>
      <c r="AC183" s="21"/>
      <c r="AD183" s="21">
        <f t="shared" si="119"/>
        <v>0</v>
      </c>
      <c r="AE183" s="21"/>
      <c r="AF183" s="21">
        <f t="shared" si="120"/>
        <v>0</v>
      </c>
      <c r="AG183" s="64">
        <f t="shared" si="121"/>
        <v>0</v>
      </c>
      <c r="AH183" s="64">
        <f t="shared" si="122"/>
        <v>9150000</v>
      </c>
      <c r="AI183" s="64">
        <f t="shared" si="123"/>
        <v>0</v>
      </c>
      <c r="AJ183" s="64">
        <f t="shared" si="124"/>
        <v>11183333.333333334</v>
      </c>
      <c r="AK183" s="64">
        <f t="shared" si="125"/>
        <v>0</v>
      </c>
      <c r="AL183" s="64">
        <f t="shared" si="126"/>
        <v>79697642.733333334</v>
      </c>
    </row>
    <row r="184" spans="2:38" s="67" customFormat="1" ht="24.75" customHeight="1" x14ac:dyDescent="0.2">
      <c r="B184" s="67">
        <v>1</v>
      </c>
      <c r="C184" s="4">
        <v>9</v>
      </c>
      <c r="D184" s="5"/>
      <c r="E184" s="5"/>
      <c r="F184" s="25">
        <v>1</v>
      </c>
      <c r="G184" s="19">
        <v>0</v>
      </c>
      <c r="H184" s="139">
        <f t="shared" si="111"/>
        <v>30.5</v>
      </c>
      <c r="I184" s="64"/>
      <c r="J184" s="64">
        <v>1769428</v>
      </c>
      <c r="K184" s="64">
        <v>0</v>
      </c>
      <c r="L184" s="64">
        <v>0</v>
      </c>
      <c r="M184" s="19">
        <v>0</v>
      </c>
      <c r="N184" s="64">
        <f t="shared" si="112"/>
        <v>0</v>
      </c>
      <c r="O184" s="19"/>
      <c r="P184" s="64">
        <f>K184*22.5%*O184</f>
        <v>0</v>
      </c>
      <c r="Q184" s="64"/>
      <c r="R184" s="64"/>
      <c r="S184" s="64">
        <f t="shared" si="113"/>
        <v>0</v>
      </c>
      <c r="T184" s="64">
        <f t="shared" si="114"/>
        <v>5396755.3999999994</v>
      </c>
      <c r="U184" s="64">
        <v>0</v>
      </c>
      <c r="V184" s="18">
        <f t="shared" si="115"/>
        <v>0</v>
      </c>
      <c r="W184" s="64"/>
      <c r="X184" s="18">
        <f t="shared" si="116"/>
        <v>0</v>
      </c>
      <c r="Y184" s="21">
        <v>0</v>
      </c>
      <c r="Z184" s="21">
        <f t="shared" si="117"/>
        <v>0</v>
      </c>
      <c r="AA184" s="21">
        <v>0</v>
      </c>
      <c r="AB184" s="21">
        <f t="shared" si="118"/>
        <v>0</v>
      </c>
      <c r="AC184" s="21"/>
      <c r="AD184" s="21">
        <f t="shared" si="119"/>
        <v>0</v>
      </c>
      <c r="AE184" s="21"/>
      <c r="AF184" s="21">
        <f t="shared" si="120"/>
        <v>0</v>
      </c>
      <c r="AG184" s="64">
        <f t="shared" si="121"/>
        <v>0</v>
      </c>
      <c r="AH184" s="64">
        <f t="shared" si="122"/>
        <v>9150000</v>
      </c>
      <c r="AI184" s="64">
        <f t="shared" si="123"/>
        <v>0</v>
      </c>
      <c r="AJ184" s="64">
        <f t="shared" si="124"/>
        <v>11183333.333333334</v>
      </c>
      <c r="AK184" s="64">
        <f t="shared" si="125"/>
        <v>0</v>
      </c>
      <c r="AL184" s="64">
        <f t="shared" si="126"/>
        <v>79697642.733333334</v>
      </c>
    </row>
    <row r="185" spans="2:38" s="67" customFormat="1" ht="24.75" customHeight="1" x14ac:dyDescent="0.2">
      <c r="B185" s="67">
        <v>1</v>
      </c>
      <c r="C185" s="6">
        <v>10</v>
      </c>
      <c r="D185" s="5"/>
      <c r="E185" s="5"/>
      <c r="F185" s="25">
        <v>1</v>
      </c>
      <c r="G185" s="19">
        <v>0</v>
      </c>
      <c r="H185" s="139">
        <f t="shared" si="111"/>
        <v>30.5</v>
      </c>
      <c r="I185" s="64"/>
      <c r="J185" s="64">
        <v>1769428</v>
      </c>
      <c r="K185" s="64">
        <v>0</v>
      </c>
      <c r="L185" s="64">
        <v>0</v>
      </c>
      <c r="M185" s="19">
        <v>0</v>
      </c>
      <c r="N185" s="64">
        <f t="shared" si="112"/>
        <v>0</v>
      </c>
      <c r="O185" s="19"/>
      <c r="P185" s="64">
        <f>K185*22.5%*O185</f>
        <v>0</v>
      </c>
      <c r="Q185" s="64"/>
      <c r="R185" s="64"/>
      <c r="S185" s="64">
        <f t="shared" si="113"/>
        <v>0</v>
      </c>
      <c r="T185" s="64">
        <f t="shared" si="114"/>
        <v>5396755.3999999994</v>
      </c>
      <c r="U185" s="64">
        <v>0</v>
      </c>
      <c r="V185" s="18">
        <f t="shared" si="115"/>
        <v>0</v>
      </c>
      <c r="W185" s="64"/>
      <c r="X185" s="18">
        <f t="shared" si="116"/>
        <v>0</v>
      </c>
      <c r="Y185" s="21">
        <v>0</v>
      </c>
      <c r="Z185" s="21">
        <f t="shared" si="117"/>
        <v>0</v>
      </c>
      <c r="AA185" s="21">
        <v>0</v>
      </c>
      <c r="AB185" s="21">
        <f t="shared" si="118"/>
        <v>0</v>
      </c>
      <c r="AC185" s="21"/>
      <c r="AD185" s="21">
        <f t="shared" si="119"/>
        <v>0</v>
      </c>
      <c r="AE185" s="21"/>
      <c r="AF185" s="21">
        <f t="shared" si="120"/>
        <v>0</v>
      </c>
      <c r="AG185" s="64">
        <f t="shared" si="121"/>
        <v>0</v>
      </c>
      <c r="AH185" s="64">
        <f t="shared" si="122"/>
        <v>9150000</v>
      </c>
      <c r="AI185" s="64">
        <f t="shared" si="123"/>
        <v>0</v>
      </c>
      <c r="AJ185" s="64">
        <f t="shared" si="124"/>
        <v>11183333.333333334</v>
      </c>
      <c r="AK185" s="64">
        <f t="shared" si="125"/>
        <v>0</v>
      </c>
      <c r="AL185" s="64">
        <f t="shared" si="126"/>
        <v>79697642.733333334</v>
      </c>
    </row>
    <row r="186" spans="2:38" s="67" customFormat="1" ht="24.75" customHeight="1" x14ac:dyDescent="0.2">
      <c r="B186" s="67">
        <v>1</v>
      </c>
      <c r="C186" s="4">
        <v>11</v>
      </c>
      <c r="D186" s="5"/>
      <c r="E186" s="5"/>
      <c r="F186" s="25">
        <v>1</v>
      </c>
      <c r="G186" s="19">
        <v>0</v>
      </c>
      <c r="H186" s="139">
        <f t="shared" si="111"/>
        <v>30.5</v>
      </c>
      <c r="I186" s="64"/>
      <c r="J186" s="64">
        <v>1769428</v>
      </c>
      <c r="K186" s="64">
        <v>0</v>
      </c>
      <c r="L186" s="64">
        <v>0</v>
      </c>
      <c r="M186" s="19">
        <v>0</v>
      </c>
      <c r="N186" s="64">
        <f t="shared" si="112"/>
        <v>0</v>
      </c>
      <c r="O186" s="19"/>
      <c r="P186" s="64">
        <f t="shared" ref="P186:P187" si="128">J186*15%*O186</f>
        <v>0</v>
      </c>
      <c r="Q186" s="64"/>
      <c r="R186" s="64"/>
      <c r="S186" s="64">
        <f t="shared" si="113"/>
        <v>0</v>
      </c>
      <c r="T186" s="64">
        <f t="shared" si="114"/>
        <v>5396755.3999999994</v>
      </c>
      <c r="U186" s="64">
        <v>0</v>
      </c>
      <c r="V186" s="18">
        <f t="shared" si="115"/>
        <v>0</v>
      </c>
      <c r="W186" s="64"/>
      <c r="X186" s="18">
        <f t="shared" si="116"/>
        <v>0</v>
      </c>
      <c r="Y186" s="21">
        <v>0</v>
      </c>
      <c r="Z186" s="21">
        <f t="shared" si="117"/>
        <v>0</v>
      </c>
      <c r="AA186" s="21">
        <v>0</v>
      </c>
      <c r="AB186" s="21">
        <f t="shared" si="118"/>
        <v>0</v>
      </c>
      <c r="AC186" s="21"/>
      <c r="AD186" s="21">
        <f t="shared" si="119"/>
        <v>0</v>
      </c>
      <c r="AE186" s="21"/>
      <c r="AF186" s="21">
        <f t="shared" si="120"/>
        <v>0</v>
      </c>
      <c r="AG186" s="64">
        <f t="shared" si="121"/>
        <v>0</v>
      </c>
      <c r="AH186" s="64">
        <f t="shared" si="122"/>
        <v>9150000</v>
      </c>
      <c r="AI186" s="64">
        <f t="shared" si="123"/>
        <v>0</v>
      </c>
      <c r="AJ186" s="64">
        <f t="shared" si="124"/>
        <v>11183333.333333334</v>
      </c>
      <c r="AK186" s="64">
        <f t="shared" si="125"/>
        <v>0</v>
      </c>
      <c r="AL186" s="64">
        <f t="shared" si="126"/>
        <v>79697642.733333334</v>
      </c>
    </row>
    <row r="187" spans="2:38" s="67" customFormat="1" ht="24.75" customHeight="1" x14ac:dyDescent="0.2">
      <c r="B187" s="67">
        <v>1</v>
      </c>
      <c r="C187" s="6">
        <v>12</v>
      </c>
      <c r="D187" s="5"/>
      <c r="E187" s="5"/>
      <c r="F187" s="25">
        <v>1</v>
      </c>
      <c r="G187" s="19">
        <v>0</v>
      </c>
      <c r="H187" s="139">
        <f t="shared" si="111"/>
        <v>30.5</v>
      </c>
      <c r="I187" s="64"/>
      <c r="J187" s="64">
        <v>1769428</v>
      </c>
      <c r="K187" s="64">
        <v>0</v>
      </c>
      <c r="L187" s="64">
        <v>0</v>
      </c>
      <c r="M187" s="19">
        <v>0</v>
      </c>
      <c r="N187" s="64">
        <f t="shared" si="112"/>
        <v>0</v>
      </c>
      <c r="O187" s="19"/>
      <c r="P187" s="64">
        <f t="shared" si="128"/>
        <v>0</v>
      </c>
      <c r="Q187" s="64"/>
      <c r="R187" s="64"/>
      <c r="S187" s="64">
        <f t="shared" si="113"/>
        <v>0</v>
      </c>
      <c r="T187" s="64">
        <f t="shared" si="114"/>
        <v>5396755.3999999994</v>
      </c>
      <c r="U187" s="64">
        <v>0</v>
      </c>
      <c r="V187" s="18">
        <f t="shared" si="115"/>
        <v>0</v>
      </c>
      <c r="W187" s="64"/>
      <c r="X187" s="18">
        <f t="shared" si="116"/>
        <v>0</v>
      </c>
      <c r="Y187" s="21">
        <v>0</v>
      </c>
      <c r="Z187" s="21">
        <f t="shared" si="117"/>
        <v>0</v>
      </c>
      <c r="AA187" s="21">
        <v>0</v>
      </c>
      <c r="AB187" s="21">
        <f t="shared" si="118"/>
        <v>0</v>
      </c>
      <c r="AC187" s="21"/>
      <c r="AD187" s="21">
        <f t="shared" si="119"/>
        <v>0</v>
      </c>
      <c r="AE187" s="21"/>
      <c r="AF187" s="21">
        <f t="shared" si="120"/>
        <v>0</v>
      </c>
      <c r="AG187" s="64">
        <f t="shared" si="121"/>
        <v>0</v>
      </c>
      <c r="AH187" s="64">
        <f t="shared" si="122"/>
        <v>9150000</v>
      </c>
      <c r="AI187" s="64">
        <f t="shared" si="123"/>
        <v>0</v>
      </c>
      <c r="AJ187" s="64">
        <f t="shared" si="124"/>
        <v>11183333.333333334</v>
      </c>
      <c r="AK187" s="64">
        <f t="shared" si="125"/>
        <v>0</v>
      </c>
      <c r="AL187" s="64">
        <f t="shared" si="126"/>
        <v>79697642.733333334</v>
      </c>
    </row>
    <row r="188" spans="2:38" ht="24" x14ac:dyDescent="0.2">
      <c r="B188" s="67">
        <v>1</v>
      </c>
      <c r="C188" s="4">
        <v>13</v>
      </c>
      <c r="D188" s="5"/>
      <c r="E188" s="5"/>
      <c r="F188" s="25">
        <v>1</v>
      </c>
      <c r="G188" s="19">
        <v>0</v>
      </c>
      <c r="H188" s="139">
        <f t="shared" si="111"/>
        <v>30.5</v>
      </c>
      <c r="I188" s="64"/>
      <c r="J188" s="64">
        <v>1769428</v>
      </c>
      <c r="K188" s="64">
        <v>0</v>
      </c>
      <c r="L188" s="64">
        <v>0</v>
      </c>
      <c r="M188" s="19">
        <v>0</v>
      </c>
      <c r="N188" s="64">
        <f t="shared" si="112"/>
        <v>0</v>
      </c>
      <c r="O188" s="19"/>
      <c r="P188" s="64">
        <f>K188*22.5%*O188</f>
        <v>0</v>
      </c>
      <c r="Q188" s="64"/>
      <c r="R188" s="64"/>
      <c r="S188" s="64">
        <f t="shared" si="113"/>
        <v>0</v>
      </c>
      <c r="T188" s="64">
        <f t="shared" si="114"/>
        <v>5396755.3999999994</v>
      </c>
      <c r="U188" s="64">
        <v>0</v>
      </c>
      <c r="V188" s="18">
        <f t="shared" si="115"/>
        <v>0</v>
      </c>
      <c r="W188" s="64"/>
      <c r="X188" s="18">
        <f t="shared" si="116"/>
        <v>0</v>
      </c>
      <c r="Y188" s="21">
        <v>0</v>
      </c>
      <c r="Z188" s="21">
        <f t="shared" si="117"/>
        <v>0</v>
      </c>
      <c r="AA188" s="21">
        <v>0</v>
      </c>
      <c r="AB188" s="21">
        <f t="shared" si="118"/>
        <v>0</v>
      </c>
      <c r="AC188" s="21"/>
      <c r="AD188" s="21">
        <f t="shared" si="119"/>
        <v>0</v>
      </c>
      <c r="AE188" s="21"/>
      <c r="AF188" s="21">
        <f t="shared" si="120"/>
        <v>0</v>
      </c>
      <c r="AG188" s="64">
        <f t="shared" si="121"/>
        <v>0</v>
      </c>
      <c r="AH188" s="64">
        <f t="shared" si="122"/>
        <v>9150000</v>
      </c>
      <c r="AI188" s="64">
        <f t="shared" si="123"/>
        <v>0</v>
      </c>
      <c r="AJ188" s="64">
        <f t="shared" si="124"/>
        <v>11183333.333333334</v>
      </c>
      <c r="AK188" s="64">
        <f t="shared" si="125"/>
        <v>0</v>
      </c>
      <c r="AL188" s="64">
        <f t="shared" si="126"/>
        <v>79697642.733333334</v>
      </c>
    </row>
    <row r="189" spans="2:38" ht="24" x14ac:dyDescent="0.2">
      <c r="B189" s="67">
        <v>1</v>
      </c>
      <c r="C189" s="6">
        <v>14</v>
      </c>
      <c r="D189" s="5"/>
      <c r="E189" s="5"/>
      <c r="F189" s="25">
        <v>1</v>
      </c>
      <c r="G189" s="19">
        <v>0</v>
      </c>
      <c r="H189" s="139">
        <f t="shared" si="111"/>
        <v>30.5</v>
      </c>
      <c r="I189" s="64"/>
      <c r="J189" s="64">
        <v>1769428</v>
      </c>
      <c r="K189" s="64">
        <v>0</v>
      </c>
      <c r="L189" s="64">
        <v>0</v>
      </c>
      <c r="M189" s="19">
        <v>0</v>
      </c>
      <c r="N189" s="64">
        <f t="shared" si="112"/>
        <v>0</v>
      </c>
      <c r="O189" s="19"/>
      <c r="P189" s="64">
        <f>J189*15%*O189</f>
        <v>0</v>
      </c>
      <c r="Q189" s="64"/>
      <c r="R189" s="64"/>
      <c r="S189" s="64">
        <f t="shared" si="113"/>
        <v>0</v>
      </c>
      <c r="T189" s="64">
        <f t="shared" si="114"/>
        <v>5396755.3999999994</v>
      </c>
      <c r="U189" s="64">
        <v>0</v>
      </c>
      <c r="V189" s="18">
        <f t="shared" si="115"/>
        <v>0</v>
      </c>
      <c r="W189" s="64"/>
      <c r="X189" s="18">
        <f t="shared" si="116"/>
        <v>0</v>
      </c>
      <c r="Y189" s="21">
        <v>0</v>
      </c>
      <c r="Z189" s="21">
        <f t="shared" si="117"/>
        <v>0</v>
      </c>
      <c r="AA189" s="21">
        <v>0</v>
      </c>
      <c r="AB189" s="21">
        <f t="shared" si="118"/>
        <v>0</v>
      </c>
      <c r="AC189" s="21"/>
      <c r="AD189" s="21">
        <f t="shared" si="119"/>
        <v>0</v>
      </c>
      <c r="AE189" s="21"/>
      <c r="AF189" s="21">
        <f t="shared" si="120"/>
        <v>0</v>
      </c>
      <c r="AG189" s="64">
        <f t="shared" si="121"/>
        <v>0</v>
      </c>
      <c r="AH189" s="64">
        <f t="shared" si="122"/>
        <v>9150000</v>
      </c>
      <c r="AI189" s="64">
        <f t="shared" si="123"/>
        <v>0</v>
      </c>
      <c r="AJ189" s="64">
        <f t="shared" si="124"/>
        <v>11183333.333333334</v>
      </c>
      <c r="AK189" s="64">
        <f t="shared" si="125"/>
        <v>0</v>
      </c>
      <c r="AL189" s="64">
        <f t="shared" si="126"/>
        <v>79697642.733333334</v>
      </c>
    </row>
    <row r="190" spans="2:38" ht="24" x14ac:dyDescent="0.2">
      <c r="B190" s="67">
        <v>1</v>
      </c>
      <c r="C190" s="4">
        <v>15</v>
      </c>
      <c r="D190" s="5"/>
      <c r="E190" s="5"/>
      <c r="F190" s="25">
        <v>1</v>
      </c>
      <c r="G190" s="19">
        <v>0</v>
      </c>
      <c r="H190" s="139">
        <f t="shared" si="111"/>
        <v>30.5</v>
      </c>
      <c r="I190" s="64"/>
      <c r="J190" s="64">
        <v>1769428</v>
      </c>
      <c r="K190" s="64">
        <v>0</v>
      </c>
      <c r="L190" s="64">
        <v>0</v>
      </c>
      <c r="M190" s="19">
        <v>0</v>
      </c>
      <c r="N190" s="64">
        <f t="shared" si="112"/>
        <v>0</v>
      </c>
      <c r="O190" s="19"/>
      <c r="P190" s="64">
        <f>J190*15%*O190</f>
        <v>0</v>
      </c>
      <c r="Q190" s="64"/>
      <c r="R190" s="64"/>
      <c r="S190" s="64">
        <f t="shared" si="113"/>
        <v>0</v>
      </c>
      <c r="T190" s="64">
        <f t="shared" si="114"/>
        <v>5396755.3999999994</v>
      </c>
      <c r="U190" s="64">
        <v>0</v>
      </c>
      <c r="V190" s="18">
        <f t="shared" si="115"/>
        <v>0</v>
      </c>
      <c r="W190" s="64"/>
      <c r="X190" s="18">
        <f t="shared" si="116"/>
        <v>0</v>
      </c>
      <c r="Y190" s="21">
        <v>0</v>
      </c>
      <c r="Z190" s="21">
        <f t="shared" si="117"/>
        <v>0</v>
      </c>
      <c r="AA190" s="21">
        <v>0</v>
      </c>
      <c r="AB190" s="21">
        <f t="shared" si="118"/>
        <v>0</v>
      </c>
      <c r="AC190" s="21"/>
      <c r="AD190" s="21">
        <f t="shared" si="119"/>
        <v>0</v>
      </c>
      <c r="AE190" s="21"/>
      <c r="AF190" s="21">
        <f t="shared" si="120"/>
        <v>0</v>
      </c>
      <c r="AG190" s="64">
        <f t="shared" si="121"/>
        <v>0</v>
      </c>
      <c r="AH190" s="64">
        <f t="shared" si="122"/>
        <v>9150000</v>
      </c>
      <c r="AI190" s="64">
        <f t="shared" si="123"/>
        <v>0</v>
      </c>
      <c r="AJ190" s="64">
        <f t="shared" si="124"/>
        <v>11183333.333333334</v>
      </c>
      <c r="AK190" s="64">
        <f t="shared" si="125"/>
        <v>0</v>
      </c>
      <c r="AL190" s="64">
        <f t="shared" si="126"/>
        <v>79697642.733333334</v>
      </c>
    </row>
    <row r="191" spans="2:38" ht="24" x14ac:dyDescent="0.2">
      <c r="B191" s="67">
        <v>1</v>
      </c>
      <c r="C191" s="6">
        <v>16</v>
      </c>
      <c r="D191" s="5"/>
      <c r="E191" s="5"/>
      <c r="F191" s="25">
        <v>1</v>
      </c>
      <c r="G191" s="19">
        <v>0</v>
      </c>
      <c r="H191" s="139">
        <f t="shared" si="111"/>
        <v>30.5</v>
      </c>
      <c r="I191" s="64"/>
      <c r="J191" s="64">
        <v>1769428</v>
      </c>
      <c r="K191" s="64">
        <v>0</v>
      </c>
      <c r="L191" s="64">
        <v>0</v>
      </c>
      <c r="M191" s="19">
        <v>0</v>
      </c>
      <c r="N191" s="64">
        <f t="shared" si="112"/>
        <v>0</v>
      </c>
      <c r="O191" s="19"/>
      <c r="P191" s="64">
        <f t="shared" ref="P191:P195" si="129">K191*22.5%*O191</f>
        <v>0</v>
      </c>
      <c r="Q191" s="64"/>
      <c r="R191" s="64"/>
      <c r="S191" s="64">
        <f t="shared" si="113"/>
        <v>0</v>
      </c>
      <c r="T191" s="64">
        <f t="shared" si="114"/>
        <v>5396755.3999999994</v>
      </c>
      <c r="U191" s="64">
        <v>0</v>
      </c>
      <c r="V191" s="18">
        <f t="shared" si="115"/>
        <v>0</v>
      </c>
      <c r="W191" s="64"/>
      <c r="X191" s="18">
        <f t="shared" si="116"/>
        <v>0</v>
      </c>
      <c r="Y191" s="21">
        <v>0</v>
      </c>
      <c r="Z191" s="21">
        <f t="shared" si="117"/>
        <v>0</v>
      </c>
      <c r="AA191" s="21">
        <v>0</v>
      </c>
      <c r="AB191" s="21">
        <f t="shared" si="118"/>
        <v>0</v>
      </c>
      <c r="AC191" s="21"/>
      <c r="AD191" s="21">
        <f t="shared" si="119"/>
        <v>0</v>
      </c>
      <c r="AE191" s="21"/>
      <c r="AF191" s="21">
        <f t="shared" si="120"/>
        <v>0</v>
      </c>
      <c r="AG191" s="64">
        <f t="shared" si="121"/>
        <v>0</v>
      </c>
      <c r="AH191" s="64">
        <f t="shared" si="122"/>
        <v>9150000</v>
      </c>
      <c r="AI191" s="64">
        <f t="shared" si="123"/>
        <v>0</v>
      </c>
      <c r="AJ191" s="64">
        <f t="shared" si="124"/>
        <v>11183333.333333334</v>
      </c>
      <c r="AK191" s="64">
        <f t="shared" si="125"/>
        <v>0</v>
      </c>
      <c r="AL191" s="64">
        <f t="shared" si="126"/>
        <v>79697642.733333334</v>
      </c>
    </row>
    <row r="192" spans="2:38" ht="24" x14ac:dyDescent="0.2">
      <c r="B192" s="67">
        <v>1</v>
      </c>
      <c r="C192" s="4">
        <v>17</v>
      </c>
      <c r="D192" s="5"/>
      <c r="E192" s="5"/>
      <c r="F192" s="25">
        <v>1</v>
      </c>
      <c r="G192" s="19">
        <v>0</v>
      </c>
      <c r="H192" s="139">
        <f t="shared" si="111"/>
        <v>30.5</v>
      </c>
      <c r="I192" s="64"/>
      <c r="J192" s="64">
        <v>1769428</v>
      </c>
      <c r="K192" s="64">
        <v>0</v>
      </c>
      <c r="L192" s="64">
        <v>0</v>
      </c>
      <c r="M192" s="19">
        <v>0</v>
      </c>
      <c r="N192" s="64">
        <f t="shared" si="112"/>
        <v>0</v>
      </c>
      <c r="O192" s="19"/>
      <c r="P192" s="64">
        <f t="shared" si="129"/>
        <v>0</v>
      </c>
      <c r="Q192" s="64"/>
      <c r="R192" s="64"/>
      <c r="S192" s="64">
        <f t="shared" si="113"/>
        <v>0</v>
      </c>
      <c r="T192" s="64">
        <f t="shared" si="114"/>
        <v>5396755.3999999994</v>
      </c>
      <c r="U192" s="64">
        <v>0</v>
      </c>
      <c r="V192" s="18">
        <f t="shared" si="115"/>
        <v>0</v>
      </c>
      <c r="W192" s="64"/>
      <c r="X192" s="18">
        <f t="shared" si="116"/>
        <v>0</v>
      </c>
      <c r="Y192" s="21">
        <v>0</v>
      </c>
      <c r="Z192" s="21">
        <f t="shared" si="117"/>
        <v>0</v>
      </c>
      <c r="AA192" s="21">
        <v>0</v>
      </c>
      <c r="AB192" s="21">
        <f t="shared" si="118"/>
        <v>0</v>
      </c>
      <c r="AC192" s="21"/>
      <c r="AD192" s="21">
        <f t="shared" si="119"/>
        <v>0</v>
      </c>
      <c r="AE192" s="21"/>
      <c r="AF192" s="21">
        <f t="shared" si="120"/>
        <v>0</v>
      </c>
      <c r="AG192" s="64">
        <f t="shared" si="121"/>
        <v>0</v>
      </c>
      <c r="AH192" s="64">
        <f t="shared" si="122"/>
        <v>9150000</v>
      </c>
      <c r="AI192" s="64">
        <f t="shared" si="123"/>
        <v>0</v>
      </c>
      <c r="AJ192" s="64">
        <f t="shared" si="124"/>
        <v>11183333.333333334</v>
      </c>
      <c r="AK192" s="64">
        <f t="shared" si="125"/>
        <v>0</v>
      </c>
      <c r="AL192" s="64">
        <f t="shared" si="126"/>
        <v>79697642.733333334</v>
      </c>
    </row>
    <row r="193" spans="1:41" ht="24" x14ac:dyDescent="0.2">
      <c r="B193" s="67">
        <v>1</v>
      </c>
      <c r="C193" s="6">
        <v>18</v>
      </c>
      <c r="D193" s="5"/>
      <c r="E193" s="5"/>
      <c r="F193" s="25">
        <v>1</v>
      </c>
      <c r="G193" s="19">
        <v>0</v>
      </c>
      <c r="H193" s="139">
        <f t="shared" si="111"/>
        <v>30.5</v>
      </c>
      <c r="I193" s="64"/>
      <c r="J193" s="64">
        <v>1769428</v>
      </c>
      <c r="K193" s="64">
        <v>0</v>
      </c>
      <c r="L193" s="64">
        <v>0</v>
      </c>
      <c r="M193" s="19">
        <v>0</v>
      </c>
      <c r="N193" s="64">
        <f t="shared" si="112"/>
        <v>0</v>
      </c>
      <c r="O193" s="19"/>
      <c r="P193" s="64">
        <f t="shared" si="129"/>
        <v>0</v>
      </c>
      <c r="Q193" s="64"/>
      <c r="R193" s="64"/>
      <c r="S193" s="64">
        <f t="shared" si="113"/>
        <v>0</v>
      </c>
      <c r="T193" s="64">
        <f t="shared" si="114"/>
        <v>5396755.3999999994</v>
      </c>
      <c r="U193" s="64">
        <v>0</v>
      </c>
      <c r="V193" s="18">
        <f t="shared" si="115"/>
        <v>0</v>
      </c>
      <c r="W193" s="64"/>
      <c r="X193" s="18">
        <f t="shared" si="116"/>
        <v>0</v>
      </c>
      <c r="Y193" s="21">
        <v>0</v>
      </c>
      <c r="Z193" s="21">
        <f t="shared" si="117"/>
        <v>0</v>
      </c>
      <c r="AA193" s="21">
        <v>0</v>
      </c>
      <c r="AB193" s="21">
        <f t="shared" si="118"/>
        <v>0</v>
      </c>
      <c r="AC193" s="21"/>
      <c r="AD193" s="21">
        <f t="shared" si="119"/>
        <v>0</v>
      </c>
      <c r="AE193" s="21"/>
      <c r="AF193" s="21">
        <f t="shared" si="120"/>
        <v>0</v>
      </c>
      <c r="AG193" s="64">
        <f t="shared" si="121"/>
        <v>0</v>
      </c>
      <c r="AH193" s="64">
        <f t="shared" si="122"/>
        <v>9150000</v>
      </c>
      <c r="AI193" s="64">
        <f t="shared" si="123"/>
        <v>0</v>
      </c>
      <c r="AJ193" s="64">
        <f t="shared" si="124"/>
        <v>11183333.333333334</v>
      </c>
      <c r="AK193" s="64">
        <f t="shared" si="125"/>
        <v>0</v>
      </c>
      <c r="AL193" s="64">
        <f t="shared" si="126"/>
        <v>79697642.733333334</v>
      </c>
    </row>
    <row r="194" spans="1:41" ht="24" x14ac:dyDescent="0.2">
      <c r="B194" s="67">
        <v>1</v>
      </c>
      <c r="C194" s="4">
        <v>19</v>
      </c>
      <c r="D194" s="5"/>
      <c r="E194" s="5"/>
      <c r="F194" s="25">
        <v>1</v>
      </c>
      <c r="G194" s="19">
        <v>0</v>
      </c>
      <c r="H194" s="139">
        <f t="shared" si="111"/>
        <v>30.5</v>
      </c>
      <c r="I194" s="64"/>
      <c r="J194" s="64">
        <v>1769428</v>
      </c>
      <c r="K194" s="64">
        <v>0</v>
      </c>
      <c r="L194" s="64">
        <v>0</v>
      </c>
      <c r="M194" s="19">
        <v>0</v>
      </c>
      <c r="N194" s="64">
        <f t="shared" si="112"/>
        <v>0</v>
      </c>
      <c r="O194" s="19"/>
      <c r="P194" s="64">
        <f t="shared" si="129"/>
        <v>0</v>
      </c>
      <c r="Q194" s="64"/>
      <c r="R194" s="64"/>
      <c r="S194" s="64">
        <f t="shared" si="113"/>
        <v>0</v>
      </c>
      <c r="T194" s="64">
        <f t="shared" si="114"/>
        <v>5396755.3999999994</v>
      </c>
      <c r="U194" s="64">
        <v>0</v>
      </c>
      <c r="V194" s="18">
        <f t="shared" si="115"/>
        <v>0</v>
      </c>
      <c r="W194" s="64"/>
      <c r="X194" s="18">
        <f t="shared" si="116"/>
        <v>0</v>
      </c>
      <c r="Y194" s="21">
        <v>0</v>
      </c>
      <c r="Z194" s="21">
        <f t="shared" si="117"/>
        <v>0</v>
      </c>
      <c r="AA194" s="21">
        <v>0</v>
      </c>
      <c r="AB194" s="21">
        <f t="shared" si="118"/>
        <v>0</v>
      </c>
      <c r="AC194" s="21"/>
      <c r="AD194" s="21">
        <f t="shared" si="119"/>
        <v>0</v>
      </c>
      <c r="AE194" s="21"/>
      <c r="AF194" s="21">
        <f t="shared" si="120"/>
        <v>0</v>
      </c>
      <c r="AG194" s="64">
        <f t="shared" si="121"/>
        <v>0</v>
      </c>
      <c r="AH194" s="64">
        <f t="shared" si="122"/>
        <v>9150000</v>
      </c>
      <c r="AI194" s="64">
        <f t="shared" si="123"/>
        <v>0</v>
      </c>
      <c r="AJ194" s="64">
        <f t="shared" si="124"/>
        <v>11183333.333333334</v>
      </c>
      <c r="AK194" s="64">
        <f t="shared" si="125"/>
        <v>0</v>
      </c>
      <c r="AL194" s="64">
        <f t="shared" si="126"/>
        <v>79697642.733333334</v>
      </c>
    </row>
    <row r="195" spans="1:41" ht="24.75" thickBot="1" x14ac:dyDescent="0.25">
      <c r="B195" s="67">
        <v>1</v>
      </c>
      <c r="C195" s="6">
        <v>20</v>
      </c>
      <c r="D195" s="5"/>
      <c r="E195" s="5"/>
      <c r="F195" s="25">
        <v>1</v>
      </c>
      <c r="G195" s="19">
        <v>0</v>
      </c>
      <c r="H195" s="139">
        <f t="shared" si="111"/>
        <v>30.5</v>
      </c>
      <c r="I195" s="64"/>
      <c r="J195" s="64">
        <v>1769428</v>
      </c>
      <c r="K195" s="64">
        <v>0</v>
      </c>
      <c r="L195" s="64">
        <v>0</v>
      </c>
      <c r="M195" s="19">
        <v>0</v>
      </c>
      <c r="N195" s="64">
        <f t="shared" si="112"/>
        <v>0</v>
      </c>
      <c r="O195" s="19"/>
      <c r="P195" s="64">
        <f t="shared" si="129"/>
        <v>0</v>
      </c>
      <c r="Q195" s="64"/>
      <c r="R195" s="64"/>
      <c r="S195" s="64">
        <f t="shared" si="113"/>
        <v>0</v>
      </c>
      <c r="T195" s="64">
        <f t="shared" si="114"/>
        <v>5396755.3999999994</v>
      </c>
      <c r="U195" s="64">
        <v>0</v>
      </c>
      <c r="V195" s="18">
        <f t="shared" si="115"/>
        <v>0</v>
      </c>
      <c r="W195" s="64"/>
      <c r="X195" s="18">
        <f t="shared" si="116"/>
        <v>0</v>
      </c>
      <c r="Y195" s="21">
        <v>0</v>
      </c>
      <c r="Z195" s="21">
        <f t="shared" si="117"/>
        <v>0</v>
      </c>
      <c r="AA195" s="21">
        <v>0</v>
      </c>
      <c r="AB195" s="21">
        <f t="shared" si="118"/>
        <v>0</v>
      </c>
      <c r="AC195" s="21"/>
      <c r="AD195" s="21">
        <f t="shared" si="119"/>
        <v>0</v>
      </c>
      <c r="AE195" s="21"/>
      <c r="AF195" s="21">
        <f t="shared" si="120"/>
        <v>0</v>
      </c>
      <c r="AG195" s="64">
        <f t="shared" si="121"/>
        <v>0</v>
      </c>
      <c r="AH195" s="64">
        <f t="shared" si="122"/>
        <v>9150000</v>
      </c>
      <c r="AI195" s="64">
        <f t="shared" si="123"/>
        <v>0</v>
      </c>
      <c r="AJ195" s="64">
        <f t="shared" si="124"/>
        <v>11183333.333333334</v>
      </c>
      <c r="AK195" s="64">
        <f t="shared" si="125"/>
        <v>0</v>
      </c>
      <c r="AL195" s="64">
        <f t="shared" si="126"/>
        <v>79697642.733333334</v>
      </c>
    </row>
    <row r="196" spans="1:41" s="67" customFormat="1" ht="24.75" customHeight="1" thickBot="1" x14ac:dyDescent="0.25">
      <c r="C196" s="207" t="s">
        <v>24</v>
      </c>
      <c r="D196" s="208"/>
      <c r="E196" s="208"/>
      <c r="F196" s="213"/>
      <c r="G196" s="31">
        <f>SUM(G140:G195)</f>
        <v>0</v>
      </c>
      <c r="H196" s="31">
        <f>SUM(H176:H195)</f>
        <v>610</v>
      </c>
      <c r="I196" s="31">
        <f t="shared" ref="I196:AL196" si="130">SUM(I176:I195)</f>
        <v>0</v>
      </c>
      <c r="J196" s="31">
        <f t="shared" si="130"/>
        <v>35388560</v>
      </c>
      <c r="K196" s="31">
        <f t="shared" si="130"/>
        <v>0</v>
      </c>
      <c r="L196" s="31">
        <f t="shared" si="130"/>
        <v>0</v>
      </c>
      <c r="M196" s="31">
        <f t="shared" si="130"/>
        <v>0</v>
      </c>
      <c r="N196" s="31">
        <f t="shared" si="130"/>
        <v>0</v>
      </c>
      <c r="O196" s="31">
        <f t="shared" si="130"/>
        <v>0</v>
      </c>
      <c r="P196" s="31">
        <f t="shared" si="130"/>
        <v>0</v>
      </c>
      <c r="Q196" s="31">
        <f t="shared" si="130"/>
        <v>0</v>
      </c>
      <c r="R196" s="31">
        <f t="shared" si="130"/>
        <v>0</v>
      </c>
      <c r="S196" s="31">
        <f t="shared" si="130"/>
        <v>0</v>
      </c>
      <c r="T196" s="31">
        <f t="shared" si="130"/>
        <v>107935108.00000003</v>
      </c>
      <c r="U196" s="31">
        <f t="shared" si="130"/>
        <v>0</v>
      </c>
      <c r="V196" s="31">
        <f t="shared" si="130"/>
        <v>0</v>
      </c>
      <c r="W196" s="31">
        <f t="shared" si="130"/>
        <v>0</v>
      </c>
      <c r="X196" s="31">
        <f t="shared" si="130"/>
        <v>0</v>
      </c>
      <c r="Y196" s="31">
        <f t="shared" si="130"/>
        <v>0</v>
      </c>
      <c r="Z196" s="31">
        <f t="shared" si="130"/>
        <v>0</v>
      </c>
      <c r="AA196" s="31">
        <f t="shared" si="130"/>
        <v>0</v>
      </c>
      <c r="AB196" s="31">
        <f t="shared" si="130"/>
        <v>0</v>
      </c>
      <c r="AC196" s="31">
        <f t="shared" si="130"/>
        <v>0</v>
      </c>
      <c r="AD196" s="31">
        <f t="shared" si="130"/>
        <v>0</v>
      </c>
      <c r="AE196" s="31">
        <f t="shared" si="130"/>
        <v>0</v>
      </c>
      <c r="AF196" s="31">
        <f t="shared" si="130"/>
        <v>0</v>
      </c>
      <c r="AG196" s="31">
        <f t="shared" si="130"/>
        <v>0</v>
      </c>
      <c r="AH196" s="31">
        <f t="shared" si="130"/>
        <v>183000000</v>
      </c>
      <c r="AI196" s="31">
        <f t="shared" si="130"/>
        <v>0</v>
      </c>
      <c r="AJ196" s="31">
        <f t="shared" si="130"/>
        <v>223666666.66666672</v>
      </c>
      <c r="AK196" s="31">
        <f t="shared" si="130"/>
        <v>0</v>
      </c>
      <c r="AL196" s="31">
        <f t="shared" si="130"/>
        <v>1593952854.6666667</v>
      </c>
    </row>
    <row r="197" spans="1:41" s="67" customFormat="1" ht="6.75" customHeight="1" thickBot="1" x14ac:dyDescent="0.25">
      <c r="C197" s="8"/>
      <c r="D197" s="8"/>
      <c r="E197" s="8"/>
      <c r="F197" s="8"/>
      <c r="G197" s="16"/>
      <c r="H197" s="16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</row>
    <row r="198" spans="1:41" s="67" customFormat="1" ht="24.75" customHeight="1" thickBot="1" x14ac:dyDescent="0.25">
      <c r="C198" s="207" t="s">
        <v>534</v>
      </c>
      <c r="D198" s="208"/>
      <c r="E198" s="208"/>
      <c r="F198" s="84">
        <v>20</v>
      </c>
      <c r="G198" s="82"/>
      <c r="H198" s="85">
        <f>H196/$F$198</f>
        <v>30.5</v>
      </c>
      <c r="I198" s="15">
        <f t="shared" ref="I198" si="131">I196/$F$138</f>
        <v>0</v>
      </c>
      <c r="J198" s="85">
        <f>J196/$F$198</f>
        <v>1769428</v>
      </c>
      <c r="K198" s="15">
        <f t="shared" ref="K198:AK198" si="132">K196/$F$138</f>
        <v>0</v>
      </c>
      <c r="L198" s="15">
        <f t="shared" si="132"/>
        <v>0</v>
      </c>
      <c r="M198" s="15">
        <f t="shared" si="132"/>
        <v>0</v>
      </c>
      <c r="N198" s="15">
        <f t="shared" si="132"/>
        <v>0</v>
      </c>
      <c r="O198" s="15">
        <f t="shared" si="132"/>
        <v>0</v>
      </c>
      <c r="P198" s="15">
        <f t="shared" si="132"/>
        <v>0</v>
      </c>
      <c r="Q198" s="15">
        <f t="shared" si="132"/>
        <v>0</v>
      </c>
      <c r="R198" s="15">
        <f t="shared" si="132"/>
        <v>0</v>
      </c>
      <c r="S198" s="15">
        <f t="shared" si="132"/>
        <v>0</v>
      </c>
      <c r="T198" s="85">
        <f>T196/$F$198</f>
        <v>5396755.4000000013</v>
      </c>
      <c r="U198" s="15">
        <f t="shared" si="132"/>
        <v>0</v>
      </c>
      <c r="V198" s="15">
        <f t="shared" si="132"/>
        <v>0</v>
      </c>
      <c r="W198" s="15">
        <f t="shared" si="132"/>
        <v>0</v>
      </c>
      <c r="X198" s="15">
        <f t="shared" si="132"/>
        <v>0</v>
      </c>
      <c r="Y198" s="15">
        <f t="shared" si="132"/>
        <v>0</v>
      </c>
      <c r="Z198" s="15">
        <f t="shared" si="132"/>
        <v>0</v>
      </c>
      <c r="AA198" s="15">
        <f t="shared" si="132"/>
        <v>0</v>
      </c>
      <c r="AB198" s="15">
        <f t="shared" si="132"/>
        <v>0</v>
      </c>
      <c r="AC198" s="15">
        <f t="shared" si="132"/>
        <v>0</v>
      </c>
      <c r="AD198" s="15">
        <f t="shared" si="132"/>
        <v>0</v>
      </c>
      <c r="AE198" s="15">
        <f t="shared" si="132"/>
        <v>0</v>
      </c>
      <c r="AF198" s="15">
        <f t="shared" si="132"/>
        <v>0</v>
      </c>
      <c r="AG198" s="15">
        <f t="shared" si="132"/>
        <v>0</v>
      </c>
      <c r="AH198" s="85">
        <f>AH196/$F$198</f>
        <v>9150000</v>
      </c>
      <c r="AI198" s="15">
        <f t="shared" si="132"/>
        <v>0</v>
      </c>
      <c r="AJ198" s="85">
        <f>AJ196/$F$198</f>
        <v>11183333.333333336</v>
      </c>
      <c r="AK198" s="15">
        <f t="shared" si="132"/>
        <v>0</v>
      </c>
      <c r="AL198" s="85">
        <f>AL196/$F$198</f>
        <v>79697642.733333334</v>
      </c>
      <c r="AN198" s="72"/>
      <c r="AO198" s="72">
        <v>1402</v>
      </c>
    </row>
    <row r="199" spans="1:41" ht="24" x14ac:dyDescent="0.2">
      <c r="AM199" s="66" t="s">
        <v>25</v>
      </c>
      <c r="AN199" s="33"/>
      <c r="AO199" s="33"/>
    </row>
    <row r="200" spans="1:41" ht="24" x14ac:dyDescent="0.2">
      <c r="AM200" s="6" t="s">
        <v>26</v>
      </c>
      <c r="AN200" s="21"/>
      <c r="AO200" s="21">
        <v>0</v>
      </c>
    </row>
    <row r="201" spans="1:41" ht="24" x14ac:dyDescent="0.2">
      <c r="AM201" s="6" t="s">
        <v>27</v>
      </c>
      <c r="AN201" s="21"/>
      <c r="AO201" s="21">
        <f>J198*5</f>
        <v>8847140</v>
      </c>
    </row>
    <row r="202" spans="1:41" ht="24" x14ac:dyDescent="0.2">
      <c r="AM202" s="23" t="s">
        <v>6</v>
      </c>
      <c r="AN202" s="22"/>
      <c r="AO202" s="22">
        <f>AO201/2</f>
        <v>4423570</v>
      </c>
    </row>
    <row r="203" spans="1:41" ht="24" x14ac:dyDescent="0.2">
      <c r="AM203" s="23" t="s">
        <v>28</v>
      </c>
      <c r="AN203" s="34"/>
      <c r="AO203" s="34">
        <v>0</v>
      </c>
    </row>
    <row r="204" spans="1:41" ht="24.75" thickBot="1" x14ac:dyDescent="0.25">
      <c r="AM204" s="23" t="s">
        <v>29</v>
      </c>
      <c r="AN204" s="22"/>
      <c r="AO204" s="22">
        <v>0</v>
      </c>
    </row>
    <row r="205" spans="1:41" ht="24.75" thickBot="1" x14ac:dyDescent="0.25">
      <c r="AM205" s="24" t="s">
        <v>30</v>
      </c>
      <c r="AN205" s="20"/>
      <c r="AO205" s="20">
        <f>SUM(AO199:AO204)+AL198</f>
        <v>92968352.733333334</v>
      </c>
    </row>
    <row r="206" spans="1:41" ht="18.75" thickBot="1" x14ac:dyDescent="0.25"/>
    <row r="207" spans="1:41" ht="18.75" thickBot="1" x14ac:dyDescent="0.25">
      <c r="A207" s="10"/>
      <c r="F207" s="209" t="s">
        <v>181</v>
      </c>
      <c r="G207" s="211" t="s">
        <v>335</v>
      </c>
      <c r="H207" s="211" t="s">
        <v>336</v>
      </c>
      <c r="I207" s="197" t="s">
        <v>17</v>
      </c>
      <c r="J207" s="198"/>
      <c r="K207" s="202" t="s">
        <v>9</v>
      </c>
      <c r="L207" s="202" t="s">
        <v>23</v>
      </c>
      <c r="M207" s="204" t="s">
        <v>18</v>
      </c>
      <c r="N207" s="205"/>
      <c r="O207" s="205"/>
      <c r="P207" s="206"/>
      <c r="Q207" s="202" t="s">
        <v>70</v>
      </c>
      <c r="R207" s="202" t="s">
        <v>69</v>
      </c>
      <c r="S207" s="197" t="s">
        <v>19</v>
      </c>
      <c r="T207" s="198"/>
      <c r="U207" s="199" t="s">
        <v>20</v>
      </c>
      <c r="V207" s="200"/>
      <c r="W207" s="200"/>
      <c r="X207" s="201"/>
      <c r="Y207" s="199" t="s">
        <v>180</v>
      </c>
      <c r="Z207" s="200"/>
      <c r="AA207" s="200" t="s">
        <v>180</v>
      </c>
      <c r="AB207" s="201"/>
      <c r="AC207" s="199" t="s">
        <v>332</v>
      </c>
      <c r="AD207" s="200"/>
      <c r="AE207" s="200" t="s">
        <v>332</v>
      </c>
      <c r="AF207" s="201"/>
      <c r="AG207" s="197" t="s">
        <v>21</v>
      </c>
      <c r="AH207" s="198"/>
      <c r="AI207" s="197" t="s">
        <v>22</v>
      </c>
      <c r="AJ207" s="198"/>
      <c r="AK207" s="197" t="s">
        <v>24</v>
      </c>
      <c r="AL207" s="198" t="s">
        <v>24</v>
      </c>
    </row>
    <row r="208" spans="1:41" ht="18.75" thickBot="1" x14ac:dyDescent="0.25">
      <c r="B208" s="2" t="s">
        <v>35</v>
      </c>
      <c r="F208" s="210"/>
      <c r="G208" s="212"/>
      <c r="H208" s="212"/>
      <c r="I208" s="137">
        <v>1401</v>
      </c>
      <c r="J208" s="137">
        <v>1402</v>
      </c>
      <c r="K208" s="203"/>
      <c r="L208" s="203"/>
      <c r="M208" s="83" t="s">
        <v>181</v>
      </c>
      <c r="N208" s="63" t="s">
        <v>337</v>
      </c>
      <c r="O208" s="83" t="s">
        <v>181</v>
      </c>
      <c r="P208" s="63" t="s">
        <v>338</v>
      </c>
      <c r="Q208" s="203"/>
      <c r="R208" s="203"/>
      <c r="S208" s="137">
        <v>1401</v>
      </c>
      <c r="T208" s="137">
        <v>1402</v>
      </c>
      <c r="U208" s="83" t="s">
        <v>181</v>
      </c>
      <c r="V208" s="63" t="s">
        <v>337</v>
      </c>
      <c r="W208" s="83" t="s">
        <v>181</v>
      </c>
      <c r="X208" s="63" t="s">
        <v>338</v>
      </c>
      <c r="Y208" s="83" t="s">
        <v>181</v>
      </c>
      <c r="Z208" s="63" t="s">
        <v>337</v>
      </c>
      <c r="AA208" s="83" t="s">
        <v>181</v>
      </c>
      <c r="AB208" s="63" t="s">
        <v>338</v>
      </c>
      <c r="AC208" s="83" t="s">
        <v>181</v>
      </c>
      <c r="AD208" s="63" t="s">
        <v>337</v>
      </c>
      <c r="AE208" s="83" t="s">
        <v>181</v>
      </c>
      <c r="AF208" s="63" t="s">
        <v>338</v>
      </c>
      <c r="AG208" s="137">
        <v>1401</v>
      </c>
      <c r="AH208" s="137">
        <v>1402</v>
      </c>
      <c r="AI208" s="137">
        <v>1401</v>
      </c>
      <c r="AJ208" s="137">
        <v>1402</v>
      </c>
      <c r="AK208" s="137">
        <v>1403</v>
      </c>
      <c r="AL208" s="137">
        <v>1404</v>
      </c>
    </row>
    <row r="209" spans="3:41" ht="24.75" thickBot="1" x14ac:dyDescent="0.25">
      <c r="F209" s="165"/>
      <c r="G209" s="166"/>
      <c r="H209" s="85">
        <f>(H162+H196)</f>
        <v>3568.5</v>
      </c>
      <c r="I209" s="167"/>
      <c r="J209" s="15">
        <f>(J162+J196)</f>
        <v>243957342.37033328</v>
      </c>
      <c r="K209" s="167"/>
      <c r="L209" s="167"/>
      <c r="M209" s="168"/>
      <c r="N209" s="169"/>
      <c r="O209" s="85">
        <f>(O162+O196)</f>
        <v>701.5</v>
      </c>
      <c r="P209" s="15">
        <f>(P162+P196)</f>
        <v>264573896.59892505</v>
      </c>
      <c r="Q209" s="167"/>
      <c r="R209" s="167"/>
      <c r="S209" s="167"/>
      <c r="T209" s="15">
        <f>(T162+T196)</f>
        <v>777132777.5999999</v>
      </c>
      <c r="U209" s="168"/>
      <c r="V209" s="169"/>
      <c r="W209" s="85">
        <f>(W162+W196)</f>
        <v>4478</v>
      </c>
      <c r="X209" s="15">
        <f>(X162+X196)</f>
        <v>1873358036.8523545</v>
      </c>
      <c r="Y209" s="168"/>
      <c r="Z209" s="169"/>
      <c r="AA209" s="85">
        <f>(AA162+AA196)</f>
        <v>294</v>
      </c>
      <c r="AB209" s="15">
        <f>(AB162+AB196)</f>
        <v>164179783.52714446</v>
      </c>
      <c r="AC209" s="168"/>
      <c r="AD209" s="169"/>
      <c r="AE209" s="85">
        <f>(AE162+AE196)</f>
        <v>10</v>
      </c>
      <c r="AF209" s="15">
        <f>(AF162+AF196)</f>
        <v>21572202.899999999</v>
      </c>
      <c r="AG209" s="167"/>
      <c r="AH209" s="15">
        <f>(AH162+AH196)</f>
        <v>1070550000</v>
      </c>
      <c r="AI209" s="167"/>
      <c r="AJ209" s="15">
        <f>(AJ162+AJ196)</f>
        <v>1308450000</v>
      </c>
      <c r="AK209" s="167"/>
      <c r="AL209" s="15">
        <f>(AL162+AL196)</f>
        <v>12920515639.773588</v>
      </c>
    </row>
    <row r="210" spans="3:41" s="67" customFormat="1" ht="24.75" customHeight="1" thickBot="1" x14ac:dyDescent="0.25">
      <c r="C210" s="207" t="s">
        <v>532</v>
      </c>
      <c r="D210" s="208"/>
      <c r="E210" s="208"/>
      <c r="F210" s="165">
        <f>F198+F163</f>
        <v>117</v>
      </c>
      <c r="G210" s="82"/>
      <c r="H210" s="85">
        <f>H209/$F$210</f>
        <v>30.5</v>
      </c>
      <c r="I210" s="15"/>
      <c r="J210" s="15">
        <f>J209/$F$210</f>
        <v>2085105.4903447288</v>
      </c>
      <c r="K210" s="15"/>
      <c r="L210" s="15"/>
      <c r="M210" s="85"/>
      <c r="N210" s="15"/>
      <c r="O210" s="85">
        <f t="shared" ref="O210:P210" si="133">O209/$F$210</f>
        <v>5.9957264957264957</v>
      </c>
      <c r="P210" s="15">
        <f t="shared" si="133"/>
        <v>2261315.3555463678</v>
      </c>
      <c r="Q210" s="15"/>
      <c r="R210" s="15"/>
      <c r="S210" s="15"/>
      <c r="T210" s="15">
        <f>T209/$F$210</f>
        <v>6642160.4923076918</v>
      </c>
      <c r="U210" s="85"/>
      <c r="V210" s="15"/>
      <c r="W210" s="85">
        <f t="shared" ref="W210:X210" si="134">W209/$F$210</f>
        <v>38.273504273504273</v>
      </c>
      <c r="X210" s="15">
        <f t="shared" si="134"/>
        <v>16011607.152584227</v>
      </c>
      <c r="Y210" s="85"/>
      <c r="Z210" s="15"/>
      <c r="AA210" s="85">
        <f t="shared" ref="AA210:AB210" si="135">AA209/$F$210</f>
        <v>2.5128205128205128</v>
      </c>
      <c r="AB210" s="15">
        <f t="shared" si="135"/>
        <v>1403246.0130525168</v>
      </c>
      <c r="AC210" s="85"/>
      <c r="AD210" s="15"/>
      <c r="AE210" s="85">
        <f t="shared" ref="AE210" si="136">AE209/$F$210</f>
        <v>8.5470085470085472E-2</v>
      </c>
      <c r="AF210" s="15">
        <f t="shared" ref="AF210:AL210" si="137">AF209/$F$210</f>
        <v>184377.80256410255</v>
      </c>
      <c r="AG210" s="15"/>
      <c r="AH210" s="15">
        <f t="shared" si="137"/>
        <v>9150000</v>
      </c>
      <c r="AI210" s="15"/>
      <c r="AJ210" s="15">
        <f t="shared" si="137"/>
        <v>11183333.333333334</v>
      </c>
      <c r="AK210" s="15"/>
      <c r="AL210" s="15">
        <f t="shared" si="137"/>
        <v>110431757.60490246</v>
      </c>
      <c r="AM210" s="2"/>
      <c r="AN210" s="2"/>
      <c r="AO210" s="2"/>
    </row>
    <row r="211" spans="3:41" ht="24" x14ac:dyDescent="0.2">
      <c r="AM211" s="66" t="s">
        <v>25</v>
      </c>
      <c r="AN211" s="33"/>
      <c r="AO211" s="33"/>
    </row>
    <row r="212" spans="3:41" ht="24" x14ac:dyDescent="0.2">
      <c r="AM212" s="6" t="s">
        <v>26</v>
      </c>
      <c r="AN212" s="21"/>
      <c r="AO212" s="21">
        <v>0</v>
      </c>
    </row>
    <row r="213" spans="3:41" ht="24" x14ac:dyDescent="0.2">
      <c r="AM213" s="6" t="s">
        <v>27</v>
      </c>
      <c r="AN213" s="21"/>
      <c r="AO213" s="21">
        <f>J210*5</f>
        <v>10425527.451723645</v>
      </c>
    </row>
    <row r="214" spans="3:41" ht="24" x14ac:dyDescent="0.2">
      <c r="AM214" s="23" t="s">
        <v>6</v>
      </c>
      <c r="AN214" s="22"/>
      <c r="AO214" s="22">
        <f>AO213/2</f>
        <v>5212763.7258618223</v>
      </c>
    </row>
    <row r="215" spans="3:41" ht="24" x14ac:dyDescent="0.2">
      <c r="AM215" s="23" t="s">
        <v>28</v>
      </c>
      <c r="AN215" s="34"/>
      <c r="AO215" s="34">
        <v>0</v>
      </c>
    </row>
    <row r="216" spans="3:41" ht="24.75" thickBot="1" x14ac:dyDescent="0.25">
      <c r="AM216" s="23" t="s">
        <v>29</v>
      </c>
      <c r="AN216" s="22"/>
      <c r="AO216" s="22">
        <v>0</v>
      </c>
    </row>
    <row r="217" spans="3:41" ht="24.75" thickBot="1" x14ac:dyDescent="0.25">
      <c r="AM217" s="24" t="s">
        <v>30</v>
      </c>
      <c r="AN217" s="20"/>
      <c r="AO217" s="20">
        <f>SUM(AO211:AO216)+AL210</f>
        <v>126070048.78248793</v>
      </c>
    </row>
  </sheetData>
  <sortState ref="A82:AO135">
    <sortCondition ref="C82:C135"/>
  </sortState>
  <mergeCells count="138">
    <mergeCell ref="AG54:AH54"/>
    <mergeCell ref="AI54:AJ54"/>
    <mergeCell ref="AK54:AL54"/>
    <mergeCell ref="C43:E43"/>
    <mergeCell ref="C210:E210"/>
    <mergeCell ref="C71:E71"/>
    <mergeCell ref="C69:F69"/>
    <mergeCell ref="AI80:AJ80"/>
    <mergeCell ref="AK80:AL80"/>
    <mergeCell ref="C136:F136"/>
    <mergeCell ref="Q80:Q81"/>
    <mergeCell ref="R80:R81"/>
    <mergeCell ref="S80:T80"/>
    <mergeCell ref="U80:X80"/>
    <mergeCell ref="Y80:AB80"/>
    <mergeCell ref="H80:H81"/>
    <mergeCell ref="I80:J80"/>
    <mergeCell ref="K80:K81"/>
    <mergeCell ref="L80:L81"/>
    <mergeCell ref="M80:P80"/>
    <mergeCell ref="C40:E40"/>
    <mergeCell ref="C42:E42"/>
    <mergeCell ref="H54:H55"/>
    <mergeCell ref="I54:J54"/>
    <mergeCell ref="M54:P54"/>
    <mergeCell ref="S54:T54"/>
    <mergeCell ref="U54:X54"/>
    <mergeCell ref="Y54:AB54"/>
    <mergeCell ref="AC54:AF54"/>
    <mergeCell ref="C54:C55"/>
    <mergeCell ref="D54:D55"/>
    <mergeCell ref="E54:E55"/>
    <mergeCell ref="F54:F55"/>
    <mergeCell ref="G54:G55"/>
    <mergeCell ref="K54:K55"/>
    <mergeCell ref="L54:L55"/>
    <mergeCell ref="Q54:Q55"/>
    <mergeCell ref="R54:R55"/>
    <mergeCell ref="C1:AK1"/>
    <mergeCell ref="C2:AK2"/>
    <mergeCell ref="C3:C4"/>
    <mergeCell ref="D3:D4"/>
    <mergeCell ref="E3:E4"/>
    <mergeCell ref="F3:F4"/>
    <mergeCell ref="G3:G4"/>
    <mergeCell ref="K3:K4"/>
    <mergeCell ref="L3:L4"/>
    <mergeCell ref="Q3:Q4"/>
    <mergeCell ref="AI3:AJ3"/>
    <mergeCell ref="S3:T3"/>
    <mergeCell ref="U3:X3"/>
    <mergeCell ref="Y3:AB3"/>
    <mergeCell ref="AC3:AF3"/>
    <mergeCell ref="AG3:AH3"/>
    <mergeCell ref="AK3:AL3"/>
    <mergeCell ref="R3:R4"/>
    <mergeCell ref="H3:H4"/>
    <mergeCell ref="I3:J3"/>
    <mergeCell ref="M3:P3"/>
    <mergeCell ref="C80:C81"/>
    <mergeCell ref="D80:D81"/>
    <mergeCell ref="E80:E81"/>
    <mergeCell ref="C138:E138"/>
    <mergeCell ref="C163:E163"/>
    <mergeCell ref="C150:E150"/>
    <mergeCell ref="AC80:AF80"/>
    <mergeCell ref="AG80:AH80"/>
    <mergeCell ref="F80:F81"/>
    <mergeCell ref="G80:G81"/>
    <mergeCell ref="F147:F148"/>
    <mergeCell ref="G147:G148"/>
    <mergeCell ref="H147:H148"/>
    <mergeCell ref="I147:J147"/>
    <mergeCell ref="K147:K148"/>
    <mergeCell ref="L147:L148"/>
    <mergeCell ref="M147:P147"/>
    <mergeCell ref="Q147:Q148"/>
    <mergeCell ref="R147:R148"/>
    <mergeCell ref="G174:G175"/>
    <mergeCell ref="AG160:AH160"/>
    <mergeCell ref="AI160:AJ160"/>
    <mergeCell ref="AK160:AL160"/>
    <mergeCell ref="AK147:AL147"/>
    <mergeCell ref="AG147:AH147"/>
    <mergeCell ref="AI147:AJ147"/>
    <mergeCell ref="F160:F161"/>
    <mergeCell ref="G160:G161"/>
    <mergeCell ref="H160:H161"/>
    <mergeCell ref="I160:J160"/>
    <mergeCell ref="K160:K161"/>
    <mergeCell ref="AC147:AF147"/>
    <mergeCell ref="L160:L161"/>
    <mergeCell ref="M160:P160"/>
    <mergeCell ref="Q160:Q161"/>
    <mergeCell ref="R160:R161"/>
    <mergeCell ref="S160:T160"/>
    <mergeCell ref="AC160:AF160"/>
    <mergeCell ref="S147:T147"/>
    <mergeCell ref="U160:X160"/>
    <mergeCell ref="Y160:AB160"/>
    <mergeCell ref="U147:X147"/>
    <mergeCell ref="Y147:AB147"/>
    <mergeCell ref="C198:E198"/>
    <mergeCell ref="F207:F208"/>
    <mergeCell ref="G207:G208"/>
    <mergeCell ref="H207:H208"/>
    <mergeCell ref="I207:J207"/>
    <mergeCell ref="AC174:AF174"/>
    <mergeCell ref="AG174:AH174"/>
    <mergeCell ref="AI174:AJ174"/>
    <mergeCell ref="AK174:AL174"/>
    <mergeCell ref="C196:F196"/>
    <mergeCell ref="Q174:Q175"/>
    <mergeCell ref="R174:R175"/>
    <mergeCell ref="S174:T174"/>
    <mergeCell ref="U174:X174"/>
    <mergeCell ref="Y174:AB174"/>
    <mergeCell ref="H174:H175"/>
    <mergeCell ref="I174:J174"/>
    <mergeCell ref="K174:K175"/>
    <mergeCell ref="L174:L175"/>
    <mergeCell ref="M174:P174"/>
    <mergeCell ref="C174:C175"/>
    <mergeCell ref="D174:D175"/>
    <mergeCell ref="E174:E175"/>
    <mergeCell ref="F174:F175"/>
    <mergeCell ref="AI207:AJ207"/>
    <mergeCell ref="AK207:AL207"/>
    <mergeCell ref="S207:T207"/>
    <mergeCell ref="U207:X207"/>
    <mergeCell ref="Y207:AB207"/>
    <mergeCell ref="AC207:AF207"/>
    <mergeCell ref="AG207:AH207"/>
    <mergeCell ref="K207:K208"/>
    <mergeCell ref="L207:L208"/>
    <mergeCell ref="M207:P207"/>
    <mergeCell ref="Q207:Q208"/>
    <mergeCell ref="R207:R208"/>
  </mergeCells>
  <phoneticPr fontId="52" type="noConversion"/>
  <printOptions horizontalCentered="1"/>
  <pageMargins left="0" right="0" top="0.23622047244094491" bottom="0" header="0" footer="0"/>
  <pageSetup paperSize="9" scale="4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rightToLeft="1" tabSelected="1" zoomScale="140" zoomScaleNormal="140" workbookViewId="0">
      <selection activeCell="F1" sqref="F1"/>
    </sheetView>
  </sheetViews>
  <sheetFormatPr defaultRowHeight="17.25" x14ac:dyDescent="0.5"/>
  <cols>
    <col min="1" max="1" width="9.140625" style="1"/>
    <col min="2" max="2" width="6" style="55" bestFit="1" customWidth="1"/>
    <col min="3" max="3" width="44" style="55" customWidth="1"/>
    <col min="4" max="4" width="0.7109375" style="55" customWidth="1"/>
    <col min="5" max="5" width="41.7109375" style="55" customWidth="1"/>
    <col min="6" max="6" width="8.7109375" style="14" customWidth="1"/>
    <col min="7" max="7" width="11.140625" style="1" bestFit="1" customWidth="1"/>
    <col min="8" max="8" width="18.5703125" style="1" bestFit="1" customWidth="1"/>
    <col min="9" max="9" width="17.28515625" style="1" bestFit="1" customWidth="1"/>
    <col min="10" max="11" width="23.42578125" style="1" customWidth="1"/>
    <col min="12" max="204" width="9.140625" style="1"/>
    <col min="205" max="205" width="12.7109375" style="1" bestFit="1" customWidth="1"/>
    <col min="206" max="206" width="13.85546875" style="1" bestFit="1" customWidth="1"/>
    <col min="207" max="207" width="17.85546875" style="1" bestFit="1" customWidth="1"/>
    <col min="208" max="208" width="19.7109375" style="1" bestFit="1" customWidth="1"/>
    <col min="209" max="209" width="17.7109375" style="1" bestFit="1" customWidth="1"/>
    <col min="210" max="210" width="0.7109375" style="1" customWidth="1"/>
    <col min="211" max="211" width="19.140625" style="1" bestFit="1" customWidth="1"/>
    <col min="212" max="212" width="17.7109375" style="1" bestFit="1" customWidth="1"/>
    <col min="213" max="213" width="29.85546875" style="1" bestFit="1" customWidth="1"/>
    <col min="214" max="214" width="6" style="1" bestFit="1" customWidth="1"/>
    <col min="215" max="215" width="11.7109375" style="1" bestFit="1" customWidth="1"/>
    <col min="216" max="216" width="15.85546875" style="1" bestFit="1" customWidth="1"/>
    <col min="217" max="460" width="9.140625" style="1"/>
    <col min="461" max="461" width="12.7109375" style="1" bestFit="1" customWidth="1"/>
    <col min="462" max="462" width="13.85546875" style="1" bestFit="1" customWidth="1"/>
    <col min="463" max="463" width="17.85546875" style="1" bestFit="1" customWidth="1"/>
    <col min="464" max="464" width="19.7109375" style="1" bestFit="1" customWidth="1"/>
    <col min="465" max="465" width="17.7109375" style="1" bestFit="1" customWidth="1"/>
    <col min="466" max="466" width="0.7109375" style="1" customWidth="1"/>
    <col min="467" max="467" width="19.140625" style="1" bestFit="1" customWidth="1"/>
    <col min="468" max="468" width="17.7109375" style="1" bestFit="1" customWidth="1"/>
    <col min="469" max="469" width="29.85546875" style="1" bestFit="1" customWidth="1"/>
    <col min="470" max="470" width="6" style="1" bestFit="1" customWidth="1"/>
    <col min="471" max="471" width="11.7109375" style="1" bestFit="1" customWidth="1"/>
    <col min="472" max="472" width="15.85546875" style="1" bestFit="1" customWidth="1"/>
    <col min="473" max="716" width="9.140625" style="1"/>
    <col min="717" max="717" width="12.7109375" style="1" bestFit="1" customWidth="1"/>
    <col min="718" max="718" width="13.85546875" style="1" bestFit="1" customWidth="1"/>
    <col min="719" max="719" width="17.85546875" style="1" bestFit="1" customWidth="1"/>
    <col min="720" max="720" width="19.7109375" style="1" bestFit="1" customWidth="1"/>
    <col min="721" max="721" width="17.7109375" style="1" bestFit="1" customWidth="1"/>
    <col min="722" max="722" width="0.7109375" style="1" customWidth="1"/>
    <col min="723" max="723" width="19.140625" style="1" bestFit="1" customWidth="1"/>
    <col min="724" max="724" width="17.7109375" style="1" bestFit="1" customWidth="1"/>
    <col min="725" max="725" width="29.85546875" style="1" bestFit="1" customWidth="1"/>
    <col min="726" max="726" width="6" style="1" bestFit="1" customWidth="1"/>
    <col min="727" max="727" width="11.7109375" style="1" bestFit="1" customWidth="1"/>
    <col min="728" max="728" width="15.85546875" style="1" bestFit="1" customWidth="1"/>
    <col min="729" max="972" width="9.140625" style="1"/>
    <col min="973" max="973" width="12.7109375" style="1" bestFit="1" customWidth="1"/>
    <col min="974" max="974" width="13.85546875" style="1" bestFit="1" customWidth="1"/>
    <col min="975" max="975" width="17.85546875" style="1" bestFit="1" customWidth="1"/>
    <col min="976" max="976" width="19.7109375" style="1" bestFit="1" customWidth="1"/>
    <col min="977" max="977" width="17.7109375" style="1" bestFit="1" customWidth="1"/>
    <col min="978" max="978" width="0.7109375" style="1" customWidth="1"/>
    <col min="979" max="979" width="19.140625" style="1" bestFit="1" customWidth="1"/>
    <col min="980" max="980" width="17.7109375" style="1" bestFit="1" customWidth="1"/>
    <col min="981" max="981" width="29.85546875" style="1" bestFit="1" customWidth="1"/>
    <col min="982" max="982" width="6" style="1" bestFit="1" customWidth="1"/>
    <col min="983" max="983" width="11.7109375" style="1" bestFit="1" customWidth="1"/>
    <col min="984" max="984" width="15.85546875" style="1" bestFit="1" customWidth="1"/>
    <col min="985" max="1228" width="9.140625" style="1"/>
    <col min="1229" max="1229" width="12.7109375" style="1" bestFit="1" customWidth="1"/>
    <col min="1230" max="1230" width="13.85546875" style="1" bestFit="1" customWidth="1"/>
    <col min="1231" max="1231" width="17.85546875" style="1" bestFit="1" customWidth="1"/>
    <col min="1232" max="1232" width="19.7109375" style="1" bestFit="1" customWidth="1"/>
    <col min="1233" max="1233" width="17.7109375" style="1" bestFit="1" customWidth="1"/>
    <col min="1234" max="1234" width="0.7109375" style="1" customWidth="1"/>
    <col min="1235" max="1235" width="19.140625" style="1" bestFit="1" customWidth="1"/>
    <col min="1236" max="1236" width="17.7109375" style="1" bestFit="1" customWidth="1"/>
    <col min="1237" max="1237" width="29.85546875" style="1" bestFit="1" customWidth="1"/>
    <col min="1238" max="1238" width="6" style="1" bestFit="1" customWidth="1"/>
    <col min="1239" max="1239" width="11.7109375" style="1" bestFit="1" customWidth="1"/>
    <col min="1240" max="1240" width="15.85546875" style="1" bestFit="1" customWidth="1"/>
    <col min="1241" max="1484" width="9.140625" style="1"/>
    <col min="1485" max="1485" width="12.7109375" style="1" bestFit="1" customWidth="1"/>
    <col min="1486" max="1486" width="13.85546875" style="1" bestFit="1" customWidth="1"/>
    <col min="1487" max="1487" width="17.85546875" style="1" bestFit="1" customWidth="1"/>
    <col min="1488" max="1488" width="19.7109375" style="1" bestFit="1" customWidth="1"/>
    <col min="1489" max="1489" width="17.7109375" style="1" bestFit="1" customWidth="1"/>
    <col min="1490" max="1490" width="0.7109375" style="1" customWidth="1"/>
    <col min="1491" max="1491" width="19.140625" style="1" bestFit="1" customWidth="1"/>
    <col min="1492" max="1492" width="17.7109375" style="1" bestFit="1" customWidth="1"/>
    <col min="1493" max="1493" width="29.85546875" style="1" bestFit="1" customWidth="1"/>
    <col min="1494" max="1494" width="6" style="1" bestFit="1" customWidth="1"/>
    <col min="1495" max="1495" width="11.7109375" style="1" bestFit="1" customWidth="1"/>
    <col min="1496" max="1496" width="15.85546875" style="1" bestFit="1" customWidth="1"/>
    <col min="1497" max="1740" width="9.140625" style="1"/>
    <col min="1741" max="1741" width="12.7109375" style="1" bestFit="1" customWidth="1"/>
    <col min="1742" max="1742" width="13.85546875" style="1" bestFit="1" customWidth="1"/>
    <col min="1743" max="1743" width="17.85546875" style="1" bestFit="1" customWidth="1"/>
    <col min="1744" max="1744" width="19.7109375" style="1" bestFit="1" customWidth="1"/>
    <col min="1745" max="1745" width="17.7109375" style="1" bestFit="1" customWidth="1"/>
    <col min="1746" max="1746" width="0.7109375" style="1" customWidth="1"/>
    <col min="1747" max="1747" width="19.140625" style="1" bestFit="1" customWidth="1"/>
    <col min="1748" max="1748" width="17.7109375" style="1" bestFit="1" customWidth="1"/>
    <col min="1749" max="1749" width="29.85546875" style="1" bestFit="1" customWidth="1"/>
    <col min="1750" max="1750" width="6" style="1" bestFit="1" customWidth="1"/>
    <col min="1751" max="1751" width="11.7109375" style="1" bestFit="1" customWidth="1"/>
    <col min="1752" max="1752" width="15.85546875" style="1" bestFit="1" customWidth="1"/>
    <col min="1753" max="1996" width="9.140625" style="1"/>
    <col min="1997" max="1997" width="12.7109375" style="1" bestFit="1" customWidth="1"/>
    <col min="1998" max="1998" width="13.85546875" style="1" bestFit="1" customWidth="1"/>
    <col min="1999" max="1999" width="17.85546875" style="1" bestFit="1" customWidth="1"/>
    <col min="2000" max="2000" width="19.7109375" style="1" bestFit="1" customWidth="1"/>
    <col min="2001" max="2001" width="17.7109375" style="1" bestFit="1" customWidth="1"/>
    <col min="2002" max="2002" width="0.7109375" style="1" customWidth="1"/>
    <col min="2003" max="2003" width="19.140625" style="1" bestFit="1" customWidth="1"/>
    <col min="2004" max="2004" width="17.7109375" style="1" bestFit="1" customWidth="1"/>
    <col min="2005" max="2005" width="29.85546875" style="1" bestFit="1" customWidth="1"/>
    <col min="2006" max="2006" width="6" style="1" bestFit="1" customWidth="1"/>
    <col min="2007" max="2007" width="11.7109375" style="1" bestFit="1" customWidth="1"/>
    <col min="2008" max="2008" width="15.85546875" style="1" bestFit="1" customWidth="1"/>
    <col min="2009" max="2252" width="9.140625" style="1"/>
    <col min="2253" max="2253" width="12.7109375" style="1" bestFit="1" customWidth="1"/>
    <col min="2254" max="2254" width="13.85546875" style="1" bestFit="1" customWidth="1"/>
    <col min="2255" max="2255" width="17.85546875" style="1" bestFit="1" customWidth="1"/>
    <col min="2256" max="2256" width="19.7109375" style="1" bestFit="1" customWidth="1"/>
    <col min="2257" max="2257" width="17.7109375" style="1" bestFit="1" customWidth="1"/>
    <col min="2258" max="2258" width="0.7109375" style="1" customWidth="1"/>
    <col min="2259" max="2259" width="19.140625" style="1" bestFit="1" customWidth="1"/>
    <col min="2260" max="2260" width="17.7109375" style="1" bestFit="1" customWidth="1"/>
    <col min="2261" max="2261" width="29.85546875" style="1" bestFit="1" customWidth="1"/>
    <col min="2262" max="2262" width="6" style="1" bestFit="1" customWidth="1"/>
    <col min="2263" max="2263" width="11.7109375" style="1" bestFit="1" customWidth="1"/>
    <col min="2264" max="2264" width="15.85546875" style="1" bestFit="1" customWidth="1"/>
    <col min="2265" max="2508" width="9.140625" style="1"/>
    <col min="2509" max="2509" width="12.7109375" style="1" bestFit="1" customWidth="1"/>
    <col min="2510" max="2510" width="13.85546875" style="1" bestFit="1" customWidth="1"/>
    <col min="2511" max="2511" width="17.85546875" style="1" bestFit="1" customWidth="1"/>
    <col min="2512" max="2512" width="19.7109375" style="1" bestFit="1" customWidth="1"/>
    <col min="2513" max="2513" width="17.7109375" style="1" bestFit="1" customWidth="1"/>
    <col min="2514" max="2514" width="0.7109375" style="1" customWidth="1"/>
    <col min="2515" max="2515" width="19.140625" style="1" bestFit="1" customWidth="1"/>
    <col min="2516" max="2516" width="17.7109375" style="1" bestFit="1" customWidth="1"/>
    <col min="2517" max="2517" width="29.85546875" style="1" bestFit="1" customWidth="1"/>
    <col min="2518" max="2518" width="6" style="1" bestFit="1" customWidth="1"/>
    <col min="2519" max="2519" width="11.7109375" style="1" bestFit="1" customWidth="1"/>
    <col min="2520" max="2520" width="15.85546875" style="1" bestFit="1" customWidth="1"/>
    <col min="2521" max="2764" width="9.140625" style="1"/>
    <col min="2765" max="2765" width="12.7109375" style="1" bestFit="1" customWidth="1"/>
    <col min="2766" max="2766" width="13.85546875" style="1" bestFit="1" customWidth="1"/>
    <col min="2767" max="2767" width="17.85546875" style="1" bestFit="1" customWidth="1"/>
    <col min="2768" max="2768" width="19.7109375" style="1" bestFit="1" customWidth="1"/>
    <col min="2769" max="2769" width="17.7109375" style="1" bestFit="1" customWidth="1"/>
    <col min="2770" max="2770" width="0.7109375" style="1" customWidth="1"/>
    <col min="2771" max="2771" width="19.140625" style="1" bestFit="1" customWidth="1"/>
    <col min="2772" max="2772" width="17.7109375" style="1" bestFit="1" customWidth="1"/>
    <col min="2773" max="2773" width="29.85546875" style="1" bestFit="1" customWidth="1"/>
    <col min="2774" max="2774" width="6" style="1" bestFit="1" customWidth="1"/>
    <col min="2775" max="2775" width="11.7109375" style="1" bestFit="1" customWidth="1"/>
    <col min="2776" max="2776" width="15.85546875" style="1" bestFit="1" customWidth="1"/>
    <col min="2777" max="3020" width="9.140625" style="1"/>
    <col min="3021" max="3021" width="12.7109375" style="1" bestFit="1" customWidth="1"/>
    <col min="3022" max="3022" width="13.85546875" style="1" bestFit="1" customWidth="1"/>
    <col min="3023" max="3023" width="17.85546875" style="1" bestFit="1" customWidth="1"/>
    <col min="3024" max="3024" width="19.7109375" style="1" bestFit="1" customWidth="1"/>
    <col min="3025" max="3025" width="17.7109375" style="1" bestFit="1" customWidth="1"/>
    <col min="3026" max="3026" width="0.7109375" style="1" customWidth="1"/>
    <col min="3027" max="3027" width="19.140625" style="1" bestFit="1" customWidth="1"/>
    <col min="3028" max="3028" width="17.7109375" style="1" bestFit="1" customWidth="1"/>
    <col min="3029" max="3029" width="29.85546875" style="1" bestFit="1" customWidth="1"/>
    <col min="3030" max="3030" width="6" style="1" bestFit="1" customWidth="1"/>
    <col min="3031" max="3031" width="11.7109375" style="1" bestFit="1" customWidth="1"/>
    <col min="3032" max="3032" width="15.85546875" style="1" bestFit="1" customWidth="1"/>
    <col min="3033" max="3276" width="9.140625" style="1"/>
    <col min="3277" max="3277" width="12.7109375" style="1" bestFit="1" customWidth="1"/>
    <col min="3278" max="3278" width="13.85546875" style="1" bestFit="1" customWidth="1"/>
    <col min="3279" max="3279" width="17.85546875" style="1" bestFit="1" customWidth="1"/>
    <col min="3280" max="3280" width="19.7109375" style="1" bestFit="1" customWidth="1"/>
    <col min="3281" max="3281" width="17.7109375" style="1" bestFit="1" customWidth="1"/>
    <col min="3282" max="3282" width="0.7109375" style="1" customWidth="1"/>
    <col min="3283" max="3283" width="19.140625" style="1" bestFit="1" customWidth="1"/>
    <col min="3284" max="3284" width="17.7109375" style="1" bestFit="1" customWidth="1"/>
    <col min="3285" max="3285" width="29.85546875" style="1" bestFit="1" customWidth="1"/>
    <col min="3286" max="3286" width="6" style="1" bestFit="1" customWidth="1"/>
    <col min="3287" max="3287" width="11.7109375" style="1" bestFit="1" customWidth="1"/>
    <col min="3288" max="3288" width="15.85546875" style="1" bestFit="1" customWidth="1"/>
    <col min="3289" max="3532" width="9.140625" style="1"/>
    <col min="3533" max="3533" width="12.7109375" style="1" bestFit="1" customWidth="1"/>
    <col min="3534" max="3534" width="13.85546875" style="1" bestFit="1" customWidth="1"/>
    <col min="3535" max="3535" width="17.85546875" style="1" bestFit="1" customWidth="1"/>
    <col min="3536" max="3536" width="19.7109375" style="1" bestFit="1" customWidth="1"/>
    <col min="3537" max="3537" width="17.7109375" style="1" bestFit="1" customWidth="1"/>
    <col min="3538" max="3538" width="0.7109375" style="1" customWidth="1"/>
    <col min="3539" max="3539" width="19.140625" style="1" bestFit="1" customWidth="1"/>
    <col min="3540" max="3540" width="17.7109375" style="1" bestFit="1" customWidth="1"/>
    <col min="3541" max="3541" width="29.85546875" style="1" bestFit="1" customWidth="1"/>
    <col min="3542" max="3542" width="6" style="1" bestFit="1" customWidth="1"/>
    <col min="3543" max="3543" width="11.7109375" style="1" bestFit="1" customWidth="1"/>
    <col min="3544" max="3544" width="15.85546875" style="1" bestFit="1" customWidth="1"/>
    <col min="3545" max="3788" width="9.140625" style="1"/>
    <col min="3789" max="3789" width="12.7109375" style="1" bestFit="1" customWidth="1"/>
    <col min="3790" max="3790" width="13.85546875" style="1" bestFit="1" customWidth="1"/>
    <col min="3791" max="3791" width="17.85546875" style="1" bestFit="1" customWidth="1"/>
    <col min="3792" max="3792" width="19.7109375" style="1" bestFit="1" customWidth="1"/>
    <col min="3793" max="3793" width="17.7109375" style="1" bestFit="1" customWidth="1"/>
    <col min="3794" max="3794" width="0.7109375" style="1" customWidth="1"/>
    <col min="3795" max="3795" width="19.140625" style="1" bestFit="1" customWidth="1"/>
    <col min="3796" max="3796" width="17.7109375" style="1" bestFit="1" customWidth="1"/>
    <col min="3797" max="3797" width="29.85546875" style="1" bestFit="1" customWidth="1"/>
    <col min="3798" max="3798" width="6" style="1" bestFit="1" customWidth="1"/>
    <col min="3799" max="3799" width="11.7109375" style="1" bestFit="1" customWidth="1"/>
    <col min="3800" max="3800" width="15.85546875" style="1" bestFit="1" customWidth="1"/>
    <col min="3801" max="4044" width="9.140625" style="1"/>
    <col min="4045" max="4045" width="12.7109375" style="1" bestFit="1" customWidth="1"/>
    <col min="4046" max="4046" width="13.85546875" style="1" bestFit="1" customWidth="1"/>
    <col min="4047" max="4047" width="17.85546875" style="1" bestFit="1" customWidth="1"/>
    <col min="4048" max="4048" width="19.7109375" style="1" bestFit="1" customWidth="1"/>
    <col min="4049" max="4049" width="17.7109375" style="1" bestFit="1" customWidth="1"/>
    <col min="4050" max="4050" width="0.7109375" style="1" customWidth="1"/>
    <col min="4051" max="4051" width="19.140625" style="1" bestFit="1" customWidth="1"/>
    <col min="4052" max="4052" width="17.7109375" style="1" bestFit="1" customWidth="1"/>
    <col min="4053" max="4053" width="29.85546875" style="1" bestFit="1" customWidth="1"/>
    <col min="4054" max="4054" width="6" style="1" bestFit="1" customWidth="1"/>
    <col min="4055" max="4055" width="11.7109375" style="1" bestFit="1" customWidth="1"/>
    <col min="4056" max="4056" width="15.85546875" style="1" bestFit="1" customWidth="1"/>
    <col min="4057" max="4300" width="9.140625" style="1"/>
    <col min="4301" max="4301" width="12.7109375" style="1" bestFit="1" customWidth="1"/>
    <col min="4302" max="4302" width="13.85546875" style="1" bestFit="1" customWidth="1"/>
    <col min="4303" max="4303" width="17.85546875" style="1" bestFit="1" customWidth="1"/>
    <col min="4304" max="4304" width="19.7109375" style="1" bestFit="1" customWidth="1"/>
    <col min="4305" max="4305" width="17.7109375" style="1" bestFit="1" customWidth="1"/>
    <col min="4306" max="4306" width="0.7109375" style="1" customWidth="1"/>
    <col min="4307" max="4307" width="19.140625" style="1" bestFit="1" customWidth="1"/>
    <col min="4308" max="4308" width="17.7109375" style="1" bestFit="1" customWidth="1"/>
    <col min="4309" max="4309" width="29.85546875" style="1" bestFit="1" customWidth="1"/>
    <col min="4310" max="4310" width="6" style="1" bestFit="1" customWidth="1"/>
    <col min="4311" max="4311" width="11.7109375" style="1" bestFit="1" customWidth="1"/>
    <col min="4312" max="4312" width="15.85546875" style="1" bestFit="1" customWidth="1"/>
    <col min="4313" max="4556" width="9.140625" style="1"/>
    <col min="4557" max="4557" width="12.7109375" style="1" bestFit="1" customWidth="1"/>
    <col min="4558" max="4558" width="13.85546875" style="1" bestFit="1" customWidth="1"/>
    <col min="4559" max="4559" width="17.85546875" style="1" bestFit="1" customWidth="1"/>
    <col min="4560" max="4560" width="19.7109375" style="1" bestFit="1" customWidth="1"/>
    <col min="4561" max="4561" width="17.7109375" style="1" bestFit="1" customWidth="1"/>
    <col min="4562" max="4562" width="0.7109375" style="1" customWidth="1"/>
    <col min="4563" max="4563" width="19.140625" style="1" bestFit="1" customWidth="1"/>
    <col min="4564" max="4564" width="17.7109375" style="1" bestFit="1" customWidth="1"/>
    <col min="4565" max="4565" width="29.85546875" style="1" bestFit="1" customWidth="1"/>
    <col min="4566" max="4566" width="6" style="1" bestFit="1" customWidth="1"/>
    <col min="4567" max="4567" width="11.7109375" style="1" bestFit="1" customWidth="1"/>
    <col min="4568" max="4568" width="15.85546875" style="1" bestFit="1" customWidth="1"/>
    <col min="4569" max="4812" width="9.140625" style="1"/>
    <col min="4813" max="4813" width="12.7109375" style="1" bestFit="1" customWidth="1"/>
    <col min="4814" max="4814" width="13.85546875" style="1" bestFit="1" customWidth="1"/>
    <col min="4815" max="4815" width="17.85546875" style="1" bestFit="1" customWidth="1"/>
    <col min="4816" max="4816" width="19.7109375" style="1" bestFit="1" customWidth="1"/>
    <col min="4817" max="4817" width="17.7109375" style="1" bestFit="1" customWidth="1"/>
    <col min="4818" max="4818" width="0.7109375" style="1" customWidth="1"/>
    <col min="4819" max="4819" width="19.140625" style="1" bestFit="1" customWidth="1"/>
    <col min="4820" max="4820" width="17.7109375" style="1" bestFit="1" customWidth="1"/>
    <col min="4821" max="4821" width="29.85546875" style="1" bestFit="1" customWidth="1"/>
    <col min="4822" max="4822" width="6" style="1" bestFit="1" customWidth="1"/>
    <col min="4823" max="4823" width="11.7109375" style="1" bestFit="1" customWidth="1"/>
    <col min="4824" max="4824" width="15.85546875" style="1" bestFit="1" customWidth="1"/>
    <col min="4825" max="5068" width="9.140625" style="1"/>
    <col min="5069" max="5069" width="12.7109375" style="1" bestFit="1" customWidth="1"/>
    <col min="5070" max="5070" width="13.85546875" style="1" bestFit="1" customWidth="1"/>
    <col min="5071" max="5071" width="17.85546875" style="1" bestFit="1" customWidth="1"/>
    <col min="5072" max="5072" width="19.7109375" style="1" bestFit="1" customWidth="1"/>
    <col min="5073" max="5073" width="17.7109375" style="1" bestFit="1" customWidth="1"/>
    <col min="5074" max="5074" width="0.7109375" style="1" customWidth="1"/>
    <col min="5075" max="5075" width="19.140625" style="1" bestFit="1" customWidth="1"/>
    <col min="5076" max="5076" width="17.7109375" style="1" bestFit="1" customWidth="1"/>
    <col min="5077" max="5077" width="29.85546875" style="1" bestFit="1" customWidth="1"/>
    <col min="5078" max="5078" width="6" style="1" bestFit="1" customWidth="1"/>
    <col min="5079" max="5079" width="11.7109375" style="1" bestFit="1" customWidth="1"/>
    <col min="5080" max="5080" width="15.85546875" style="1" bestFit="1" customWidth="1"/>
    <col min="5081" max="5324" width="9.140625" style="1"/>
    <col min="5325" max="5325" width="12.7109375" style="1" bestFit="1" customWidth="1"/>
    <col min="5326" max="5326" width="13.85546875" style="1" bestFit="1" customWidth="1"/>
    <col min="5327" max="5327" width="17.85546875" style="1" bestFit="1" customWidth="1"/>
    <col min="5328" max="5328" width="19.7109375" style="1" bestFit="1" customWidth="1"/>
    <col min="5329" max="5329" width="17.7109375" style="1" bestFit="1" customWidth="1"/>
    <col min="5330" max="5330" width="0.7109375" style="1" customWidth="1"/>
    <col min="5331" max="5331" width="19.140625" style="1" bestFit="1" customWidth="1"/>
    <col min="5332" max="5332" width="17.7109375" style="1" bestFit="1" customWidth="1"/>
    <col min="5333" max="5333" width="29.85546875" style="1" bestFit="1" customWidth="1"/>
    <col min="5334" max="5334" width="6" style="1" bestFit="1" customWidth="1"/>
    <col min="5335" max="5335" width="11.7109375" style="1" bestFit="1" customWidth="1"/>
    <col min="5336" max="5336" width="15.85546875" style="1" bestFit="1" customWidth="1"/>
    <col min="5337" max="5580" width="9.140625" style="1"/>
    <col min="5581" max="5581" width="12.7109375" style="1" bestFit="1" customWidth="1"/>
    <col min="5582" max="5582" width="13.85546875" style="1" bestFit="1" customWidth="1"/>
    <col min="5583" max="5583" width="17.85546875" style="1" bestFit="1" customWidth="1"/>
    <col min="5584" max="5584" width="19.7109375" style="1" bestFit="1" customWidth="1"/>
    <col min="5585" max="5585" width="17.7109375" style="1" bestFit="1" customWidth="1"/>
    <col min="5586" max="5586" width="0.7109375" style="1" customWidth="1"/>
    <col min="5587" max="5587" width="19.140625" style="1" bestFit="1" customWidth="1"/>
    <col min="5588" max="5588" width="17.7109375" style="1" bestFit="1" customWidth="1"/>
    <col min="5589" max="5589" width="29.85546875" style="1" bestFit="1" customWidth="1"/>
    <col min="5590" max="5590" width="6" style="1" bestFit="1" customWidth="1"/>
    <col min="5591" max="5591" width="11.7109375" style="1" bestFit="1" customWidth="1"/>
    <col min="5592" max="5592" width="15.85546875" style="1" bestFit="1" customWidth="1"/>
    <col min="5593" max="5836" width="9.140625" style="1"/>
    <col min="5837" max="5837" width="12.7109375" style="1" bestFit="1" customWidth="1"/>
    <col min="5838" max="5838" width="13.85546875" style="1" bestFit="1" customWidth="1"/>
    <col min="5839" max="5839" width="17.85546875" style="1" bestFit="1" customWidth="1"/>
    <col min="5840" max="5840" width="19.7109375" style="1" bestFit="1" customWidth="1"/>
    <col min="5841" max="5841" width="17.7109375" style="1" bestFit="1" customWidth="1"/>
    <col min="5842" max="5842" width="0.7109375" style="1" customWidth="1"/>
    <col min="5843" max="5843" width="19.140625" style="1" bestFit="1" customWidth="1"/>
    <col min="5844" max="5844" width="17.7109375" style="1" bestFit="1" customWidth="1"/>
    <col min="5845" max="5845" width="29.85546875" style="1" bestFit="1" customWidth="1"/>
    <col min="5846" max="5846" width="6" style="1" bestFit="1" customWidth="1"/>
    <col min="5847" max="5847" width="11.7109375" style="1" bestFit="1" customWidth="1"/>
    <col min="5848" max="5848" width="15.85546875" style="1" bestFit="1" customWidth="1"/>
    <col min="5849" max="6092" width="9.140625" style="1"/>
    <col min="6093" max="6093" width="12.7109375" style="1" bestFit="1" customWidth="1"/>
    <col min="6094" max="6094" width="13.85546875" style="1" bestFit="1" customWidth="1"/>
    <col min="6095" max="6095" width="17.85546875" style="1" bestFit="1" customWidth="1"/>
    <col min="6096" max="6096" width="19.7109375" style="1" bestFit="1" customWidth="1"/>
    <col min="6097" max="6097" width="17.7109375" style="1" bestFit="1" customWidth="1"/>
    <col min="6098" max="6098" width="0.7109375" style="1" customWidth="1"/>
    <col min="6099" max="6099" width="19.140625" style="1" bestFit="1" customWidth="1"/>
    <col min="6100" max="6100" width="17.7109375" style="1" bestFit="1" customWidth="1"/>
    <col min="6101" max="6101" width="29.85546875" style="1" bestFit="1" customWidth="1"/>
    <col min="6102" max="6102" width="6" style="1" bestFit="1" customWidth="1"/>
    <col min="6103" max="6103" width="11.7109375" style="1" bestFit="1" customWidth="1"/>
    <col min="6104" max="6104" width="15.85546875" style="1" bestFit="1" customWidth="1"/>
    <col min="6105" max="6348" width="9.140625" style="1"/>
    <col min="6349" max="6349" width="12.7109375" style="1" bestFit="1" customWidth="1"/>
    <col min="6350" max="6350" width="13.85546875" style="1" bestFit="1" customWidth="1"/>
    <col min="6351" max="6351" width="17.85546875" style="1" bestFit="1" customWidth="1"/>
    <col min="6352" max="6352" width="19.7109375" style="1" bestFit="1" customWidth="1"/>
    <col min="6353" max="6353" width="17.7109375" style="1" bestFit="1" customWidth="1"/>
    <col min="6354" max="6354" width="0.7109375" style="1" customWidth="1"/>
    <col min="6355" max="6355" width="19.140625" style="1" bestFit="1" customWidth="1"/>
    <col min="6356" max="6356" width="17.7109375" style="1" bestFit="1" customWidth="1"/>
    <col min="6357" max="6357" width="29.85546875" style="1" bestFit="1" customWidth="1"/>
    <col min="6358" max="6358" width="6" style="1" bestFit="1" customWidth="1"/>
    <col min="6359" max="6359" width="11.7109375" style="1" bestFit="1" customWidth="1"/>
    <col min="6360" max="6360" width="15.85546875" style="1" bestFit="1" customWidth="1"/>
    <col min="6361" max="6604" width="9.140625" style="1"/>
    <col min="6605" max="6605" width="12.7109375" style="1" bestFit="1" customWidth="1"/>
    <col min="6606" max="6606" width="13.85546875" style="1" bestFit="1" customWidth="1"/>
    <col min="6607" max="6607" width="17.85546875" style="1" bestFit="1" customWidth="1"/>
    <col min="6608" max="6608" width="19.7109375" style="1" bestFit="1" customWidth="1"/>
    <col min="6609" max="6609" width="17.7109375" style="1" bestFit="1" customWidth="1"/>
    <col min="6610" max="6610" width="0.7109375" style="1" customWidth="1"/>
    <col min="6611" max="6611" width="19.140625" style="1" bestFit="1" customWidth="1"/>
    <col min="6612" max="6612" width="17.7109375" style="1" bestFit="1" customWidth="1"/>
    <col min="6613" max="6613" width="29.85546875" style="1" bestFit="1" customWidth="1"/>
    <col min="6614" max="6614" width="6" style="1" bestFit="1" customWidth="1"/>
    <col min="6615" max="6615" width="11.7109375" style="1" bestFit="1" customWidth="1"/>
    <col min="6616" max="6616" width="15.85546875" style="1" bestFit="1" customWidth="1"/>
    <col min="6617" max="6860" width="9.140625" style="1"/>
    <col min="6861" max="6861" width="12.7109375" style="1" bestFit="1" customWidth="1"/>
    <col min="6862" max="6862" width="13.85546875" style="1" bestFit="1" customWidth="1"/>
    <col min="6863" max="6863" width="17.85546875" style="1" bestFit="1" customWidth="1"/>
    <col min="6864" max="6864" width="19.7109375" style="1" bestFit="1" customWidth="1"/>
    <col min="6865" max="6865" width="17.7109375" style="1" bestFit="1" customWidth="1"/>
    <col min="6866" max="6866" width="0.7109375" style="1" customWidth="1"/>
    <col min="6867" max="6867" width="19.140625" style="1" bestFit="1" customWidth="1"/>
    <col min="6868" max="6868" width="17.7109375" style="1" bestFit="1" customWidth="1"/>
    <col min="6869" max="6869" width="29.85546875" style="1" bestFit="1" customWidth="1"/>
    <col min="6870" max="6870" width="6" style="1" bestFit="1" customWidth="1"/>
    <col min="6871" max="6871" width="11.7109375" style="1" bestFit="1" customWidth="1"/>
    <col min="6872" max="6872" width="15.85546875" style="1" bestFit="1" customWidth="1"/>
    <col min="6873" max="7116" width="9.140625" style="1"/>
    <col min="7117" max="7117" width="12.7109375" style="1" bestFit="1" customWidth="1"/>
    <col min="7118" max="7118" width="13.85546875" style="1" bestFit="1" customWidth="1"/>
    <col min="7119" max="7119" width="17.85546875" style="1" bestFit="1" customWidth="1"/>
    <col min="7120" max="7120" width="19.7109375" style="1" bestFit="1" customWidth="1"/>
    <col min="7121" max="7121" width="17.7109375" style="1" bestFit="1" customWidth="1"/>
    <col min="7122" max="7122" width="0.7109375" style="1" customWidth="1"/>
    <col min="7123" max="7123" width="19.140625" style="1" bestFit="1" customWidth="1"/>
    <col min="7124" max="7124" width="17.7109375" style="1" bestFit="1" customWidth="1"/>
    <col min="7125" max="7125" width="29.85546875" style="1" bestFit="1" customWidth="1"/>
    <col min="7126" max="7126" width="6" style="1" bestFit="1" customWidth="1"/>
    <col min="7127" max="7127" width="11.7109375" style="1" bestFit="1" customWidth="1"/>
    <col min="7128" max="7128" width="15.85546875" style="1" bestFit="1" customWidth="1"/>
    <col min="7129" max="7372" width="9.140625" style="1"/>
    <col min="7373" max="7373" width="12.7109375" style="1" bestFit="1" customWidth="1"/>
    <col min="7374" max="7374" width="13.85546875" style="1" bestFit="1" customWidth="1"/>
    <col min="7375" max="7375" width="17.85546875" style="1" bestFit="1" customWidth="1"/>
    <col min="7376" max="7376" width="19.7109375" style="1" bestFit="1" customWidth="1"/>
    <col min="7377" max="7377" width="17.7109375" style="1" bestFit="1" customWidth="1"/>
    <col min="7378" max="7378" width="0.7109375" style="1" customWidth="1"/>
    <col min="7379" max="7379" width="19.140625" style="1" bestFit="1" customWidth="1"/>
    <col min="7380" max="7380" width="17.7109375" style="1" bestFit="1" customWidth="1"/>
    <col min="7381" max="7381" width="29.85546875" style="1" bestFit="1" customWidth="1"/>
    <col min="7382" max="7382" width="6" style="1" bestFit="1" customWidth="1"/>
    <col min="7383" max="7383" width="11.7109375" style="1" bestFit="1" customWidth="1"/>
    <col min="7384" max="7384" width="15.85546875" style="1" bestFit="1" customWidth="1"/>
    <col min="7385" max="7628" width="9.140625" style="1"/>
    <col min="7629" max="7629" width="12.7109375" style="1" bestFit="1" customWidth="1"/>
    <col min="7630" max="7630" width="13.85546875" style="1" bestFit="1" customWidth="1"/>
    <col min="7631" max="7631" width="17.85546875" style="1" bestFit="1" customWidth="1"/>
    <col min="7632" max="7632" width="19.7109375" style="1" bestFit="1" customWidth="1"/>
    <col min="7633" max="7633" width="17.7109375" style="1" bestFit="1" customWidth="1"/>
    <col min="7634" max="7634" width="0.7109375" style="1" customWidth="1"/>
    <col min="7635" max="7635" width="19.140625" style="1" bestFit="1" customWidth="1"/>
    <col min="7636" max="7636" width="17.7109375" style="1" bestFit="1" customWidth="1"/>
    <col min="7637" max="7637" width="29.85546875" style="1" bestFit="1" customWidth="1"/>
    <col min="7638" max="7638" width="6" style="1" bestFit="1" customWidth="1"/>
    <col min="7639" max="7639" width="11.7109375" style="1" bestFit="1" customWidth="1"/>
    <col min="7640" max="7640" width="15.85546875" style="1" bestFit="1" customWidth="1"/>
    <col min="7641" max="7884" width="9.140625" style="1"/>
    <col min="7885" max="7885" width="12.7109375" style="1" bestFit="1" customWidth="1"/>
    <col min="7886" max="7886" width="13.85546875" style="1" bestFit="1" customWidth="1"/>
    <col min="7887" max="7887" width="17.85546875" style="1" bestFit="1" customWidth="1"/>
    <col min="7888" max="7888" width="19.7109375" style="1" bestFit="1" customWidth="1"/>
    <col min="7889" max="7889" width="17.7109375" style="1" bestFit="1" customWidth="1"/>
    <col min="7890" max="7890" width="0.7109375" style="1" customWidth="1"/>
    <col min="7891" max="7891" width="19.140625" style="1" bestFit="1" customWidth="1"/>
    <col min="7892" max="7892" width="17.7109375" style="1" bestFit="1" customWidth="1"/>
    <col min="7893" max="7893" width="29.85546875" style="1" bestFit="1" customWidth="1"/>
    <col min="7894" max="7894" width="6" style="1" bestFit="1" customWidth="1"/>
    <col min="7895" max="7895" width="11.7109375" style="1" bestFit="1" customWidth="1"/>
    <col min="7896" max="7896" width="15.85546875" style="1" bestFit="1" customWidth="1"/>
    <col min="7897" max="8140" width="9.140625" style="1"/>
    <col min="8141" max="8141" width="12.7109375" style="1" bestFit="1" customWidth="1"/>
    <col min="8142" max="8142" width="13.85546875" style="1" bestFit="1" customWidth="1"/>
    <col min="8143" max="8143" width="17.85546875" style="1" bestFit="1" customWidth="1"/>
    <col min="8144" max="8144" width="19.7109375" style="1" bestFit="1" customWidth="1"/>
    <col min="8145" max="8145" width="17.7109375" style="1" bestFit="1" customWidth="1"/>
    <col min="8146" max="8146" width="0.7109375" style="1" customWidth="1"/>
    <col min="8147" max="8147" width="19.140625" style="1" bestFit="1" customWidth="1"/>
    <col min="8148" max="8148" width="17.7109375" style="1" bestFit="1" customWidth="1"/>
    <col min="8149" max="8149" width="29.85546875" style="1" bestFit="1" customWidth="1"/>
    <col min="8150" max="8150" width="6" style="1" bestFit="1" customWidth="1"/>
    <col min="8151" max="8151" width="11.7109375" style="1" bestFit="1" customWidth="1"/>
    <col min="8152" max="8152" width="15.85546875" style="1" bestFit="1" customWidth="1"/>
    <col min="8153" max="8396" width="9.140625" style="1"/>
    <col min="8397" max="8397" width="12.7109375" style="1" bestFit="1" customWidth="1"/>
    <col min="8398" max="8398" width="13.85546875" style="1" bestFit="1" customWidth="1"/>
    <col min="8399" max="8399" width="17.85546875" style="1" bestFit="1" customWidth="1"/>
    <col min="8400" max="8400" width="19.7109375" style="1" bestFit="1" customWidth="1"/>
    <col min="8401" max="8401" width="17.7109375" style="1" bestFit="1" customWidth="1"/>
    <col min="8402" max="8402" width="0.7109375" style="1" customWidth="1"/>
    <col min="8403" max="8403" width="19.140625" style="1" bestFit="1" customWidth="1"/>
    <col min="8404" max="8404" width="17.7109375" style="1" bestFit="1" customWidth="1"/>
    <col min="8405" max="8405" width="29.85546875" style="1" bestFit="1" customWidth="1"/>
    <col min="8406" max="8406" width="6" style="1" bestFit="1" customWidth="1"/>
    <col min="8407" max="8407" width="11.7109375" style="1" bestFit="1" customWidth="1"/>
    <col min="8408" max="8408" width="15.85546875" style="1" bestFit="1" customWidth="1"/>
    <col min="8409" max="8652" width="9.140625" style="1"/>
    <col min="8653" max="8653" width="12.7109375" style="1" bestFit="1" customWidth="1"/>
    <col min="8654" max="8654" width="13.85546875" style="1" bestFit="1" customWidth="1"/>
    <col min="8655" max="8655" width="17.85546875" style="1" bestFit="1" customWidth="1"/>
    <col min="8656" max="8656" width="19.7109375" style="1" bestFit="1" customWidth="1"/>
    <col min="8657" max="8657" width="17.7109375" style="1" bestFit="1" customWidth="1"/>
    <col min="8658" max="8658" width="0.7109375" style="1" customWidth="1"/>
    <col min="8659" max="8659" width="19.140625" style="1" bestFit="1" customWidth="1"/>
    <col min="8660" max="8660" width="17.7109375" style="1" bestFit="1" customWidth="1"/>
    <col min="8661" max="8661" width="29.85546875" style="1" bestFit="1" customWidth="1"/>
    <col min="8662" max="8662" width="6" style="1" bestFit="1" customWidth="1"/>
    <col min="8663" max="8663" width="11.7109375" style="1" bestFit="1" customWidth="1"/>
    <col min="8664" max="8664" width="15.85546875" style="1" bestFit="1" customWidth="1"/>
    <col min="8665" max="8908" width="9.140625" style="1"/>
    <col min="8909" max="8909" width="12.7109375" style="1" bestFit="1" customWidth="1"/>
    <col min="8910" max="8910" width="13.85546875" style="1" bestFit="1" customWidth="1"/>
    <col min="8911" max="8911" width="17.85546875" style="1" bestFit="1" customWidth="1"/>
    <col min="8912" max="8912" width="19.7109375" style="1" bestFit="1" customWidth="1"/>
    <col min="8913" max="8913" width="17.7109375" style="1" bestFit="1" customWidth="1"/>
    <col min="8914" max="8914" width="0.7109375" style="1" customWidth="1"/>
    <col min="8915" max="8915" width="19.140625" style="1" bestFit="1" customWidth="1"/>
    <col min="8916" max="8916" width="17.7109375" style="1" bestFit="1" customWidth="1"/>
    <col min="8917" max="8917" width="29.85546875" style="1" bestFit="1" customWidth="1"/>
    <col min="8918" max="8918" width="6" style="1" bestFit="1" customWidth="1"/>
    <col min="8919" max="8919" width="11.7109375" style="1" bestFit="1" customWidth="1"/>
    <col min="8920" max="8920" width="15.85546875" style="1" bestFit="1" customWidth="1"/>
    <col min="8921" max="9164" width="9.140625" style="1"/>
    <col min="9165" max="9165" width="12.7109375" style="1" bestFit="1" customWidth="1"/>
    <col min="9166" max="9166" width="13.85546875" style="1" bestFit="1" customWidth="1"/>
    <col min="9167" max="9167" width="17.85546875" style="1" bestFit="1" customWidth="1"/>
    <col min="9168" max="9168" width="19.7109375" style="1" bestFit="1" customWidth="1"/>
    <col min="9169" max="9169" width="17.7109375" style="1" bestFit="1" customWidth="1"/>
    <col min="9170" max="9170" width="0.7109375" style="1" customWidth="1"/>
    <col min="9171" max="9171" width="19.140625" style="1" bestFit="1" customWidth="1"/>
    <col min="9172" max="9172" width="17.7109375" style="1" bestFit="1" customWidth="1"/>
    <col min="9173" max="9173" width="29.85546875" style="1" bestFit="1" customWidth="1"/>
    <col min="9174" max="9174" width="6" style="1" bestFit="1" customWidth="1"/>
    <col min="9175" max="9175" width="11.7109375" style="1" bestFit="1" customWidth="1"/>
    <col min="9176" max="9176" width="15.85546875" style="1" bestFit="1" customWidth="1"/>
    <col min="9177" max="9420" width="9.140625" style="1"/>
    <col min="9421" max="9421" width="12.7109375" style="1" bestFit="1" customWidth="1"/>
    <col min="9422" max="9422" width="13.85546875" style="1" bestFit="1" customWidth="1"/>
    <col min="9423" max="9423" width="17.85546875" style="1" bestFit="1" customWidth="1"/>
    <col min="9424" max="9424" width="19.7109375" style="1" bestFit="1" customWidth="1"/>
    <col min="9425" max="9425" width="17.7109375" style="1" bestFit="1" customWidth="1"/>
    <col min="9426" max="9426" width="0.7109375" style="1" customWidth="1"/>
    <col min="9427" max="9427" width="19.140625" style="1" bestFit="1" customWidth="1"/>
    <col min="9428" max="9428" width="17.7109375" style="1" bestFit="1" customWidth="1"/>
    <col min="9429" max="9429" width="29.85546875" style="1" bestFit="1" customWidth="1"/>
    <col min="9430" max="9430" width="6" style="1" bestFit="1" customWidth="1"/>
    <col min="9431" max="9431" width="11.7109375" style="1" bestFit="1" customWidth="1"/>
    <col min="9432" max="9432" width="15.85546875" style="1" bestFit="1" customWidth="1"/>
    <col min="9433" max="9676" width="9.140625" style="1"/>
    <col min="9677" max="9677" width="12.7109375" style="1" bestFit="1" customWidth="1"/>
    <col min="9678" max="9678" width="13.85546875" style="1" bestFit="1" customWidth="1"/>
    <col min="9679" max="9679" width="17.85546875" style="1" bestFit="1" customWidth="1"/>
    <col min="9680" max="9680" width="19.7109375" style="1" bestFit="1" customWidth="1"/>
    <col min="9681" max="9681" width="17.7109375" style="1" bestFit="1" customWidth="1"/>
    <col min="9682" max="9682" width="0.7109375" style="1" customWidth="1"/>
    <col min="9683" max="9683" width="19.140625" style="1" bestFit="1" customWidth="1"/>
    <col min="9684" max="9684" width="17.7109375" style="1" bestFit="1" customWidth="1"/>
    <col min="9685" max="9685" width="29.85546875" style="1" bestFit="1" customWidth="1"/>
    <col min="9686" max="9686" width="6" style="1" bestFit="1" customWidth="1"/>
    <col min="9687" max="9687" width="11.7109375" style="1" bestFit="1" customWidth="1"/>
    <col min="9688" max="9688" width="15.85546875" style="1" bestFit="1" customWidth="1"/>
    <col min="9689" max="9932" width="9.140625" style="1"/>
    <col min="9933" max="9933" width="12.7109375" style="1" bestFit="1" customWidth="1"/>
    <col min="9934" max="9934" width="13.85546875" style="1" bestFit="1" customWidth="1"/>
    <col min="9935" max="9935" width="17.85546875" style="1" bestFit="1" customWidth="1"/>
    <col min="9936" max="9936" width="19.7109375" style="1" bestFit="1" customWidth="1"/>
    <col min="9937" max="9937" width="17.7109375" style="1" bestFit="1" customWidth="1"/>
    <col min="9938" max="9938" width="0.7109375" style="1" customWidth="1"/>
    <col min="9939" max="9939" width="19.140625" style="1" bestFit="1" customWidth="1"/>
    <col min="9940" max="9940" width="17.7109375" style="1" bestFit="1" customWidth="1"/>
    <col min="9941" max="9941" width="29.85546875" style="1" bestFit="1" customWidth="1"/>
    <col min="9942" max="9942" width="6" style="1" bestFit="1" customWidth="1"/>
    <col min="9943" max="9943" width="11.7109375" style="1" bestFit="1" customWidth="1"/>
    <col min="9944" max="9944" width="15.85546875" style="1" bestFit="1" customWidth="1"/>
    <col min="9945" max="10188" width="9.140625" style="1"/>
    <col min="10189" max="10189" width="12.7109375" style="1" bestFit="1" customWidth="1"/>
    <col min="10190" max="10190" width="13.85546875" style="1" bestFit="1" customWidth="1"/>
    <col min="10191" max="10191" width="17.85546875" style="1" bestFit="1" customWidth="1"/>
    <col min="10192" max="10192" width="19.7109375" style="1" bestFit="1" customWidth="1"/>
    <col min="10193" max="10193" width="17.7109375" style="1" bestFit="1" customWidth="1"/>
    <col min="10194" max="10194" width="0.7109375" style="1" customWidth="1"/>
    <col min="10195" max="10195" width="19.140625" style="1" bestFit="1" customWidth="1"/>
    <col min="10196" max="10196" width="17.7109375" style="1" bestFit="1" customWidth="1"/>
    <col min="10197" max="10197" width="29.85546875" style="1" bestFit="1" customWidth="1"/>
    <col min="10198" max="10198" width="6" style="1" bestFit="1" customWidth="1"/>
    <col min="10199" max="10199" width="11.7109375" style="1" bestFit="1" customWidth="1"/>
    <col min="10200" max="10200" width="15.85546875" style="1" bestFit="1" customWidth="1"/>
    <col min="10201" max="10444" width="9.140625" style="1"/>
    <col min="10445" max="10445" width="12.7109375" style="1" bestFit="1" customWidth="1"/>
    <col min="10446" max="10446" width="13.85546875" style="1" bestFit="1" customWidth="1"/>
    <col min="10447" max="10447" width="17.85546875" style="1" bestFit="1" customWidth="1"/>
    <col min="10448" max="10448" width="19.7109375" style="1" bestFit="1" customWidth="1"/>
    <col min="10449" max="10449" width="17.7109375" style="1" bestFit="1" customWidth="1"/>
    <col min="10450" max="10450" width="0.7109375" style="1" customWidth="1"/>
    <col min="10451" max="10451" width="19.140625" style="1" bestFit="1" customWidth="1"/>
    <col min="10452" max="10452" width="17.7109375" style="1" bestFit="1" customWidth="1"/>
    <col min="10453" max="10453" width="29.85546875" style="1" bestFit="1" customWidth="1"/>
    <col min="10454" max="10454" width="6" style="1" bestFit="1" customWidth="1"/>
    <col min="10455" max="10455" width="11.7109375" style="1" bestFit="1" customWidth="1"/>
    <col min="10456" max="10456" width="15.85546875" style="1" bestFit="1" customWidth="1"/>
    <col min="10457" max="10700" width="9.140625" style="1"/>
    <col min="10701" max="10701" width="12.7109375" style="1" bestFit="1" customWidth="1"/>
    <col min="10702" max="10702" width="13.85546875" style="1" bestFit="1" customWidth="1"/>
    <col min="10703" max="10703" width="17.85546875" style="1" bestFit="1" customWidth="1"/>
    <col min="10704" max="10704" width="19.7109375" style="1" bestFit="1" customWidth="1"/>
    <col min="10705" max="10705" width="17.7109375" style="1" bestFit="1" customWidth="1"/>
    <col min="10706" max="10706" width="0.7109375" style="1" customWidth="1"/>
    <col min="10707" max="10707" width="19.140625" style="1" bestFit="1" customWidth="1"/>
    <col min="10708" max="10708" width="17.7109375" style="1" bestFit="1" customWidth="1"/>
    <col min="10709" max="10709" width="29.85546875" style="1" bestFit="1" customWidth="1"/>
    <col min="10710" max="10710" width="6" style="1" bestFit="1" customWidth="1"/>
    <col min="10711" max="10711" width="11.7109375" style="1" bestFit="1" customWidth="1"/>
    <col min="10712" max="10712" width="15.85546875" style="1" bestFit="1" customWidth="1"/>
    <col min="10713" max="10956" width="9.140625" style="1"/>
    <col min="10957" max="10957" width="12.7109375" style="1" bestFit="1" customWidth="1"/>
    <col min="10958" max="10958" width="13.85546875" style="1" bestFit="1" customWidth="1"/>
    <col min="10959" max="10959" width="17.85546875" style="1" bestFit="1" customWidth="1"/>
    <col min="10960" max="10960" width="19.7109375" style="1" bestFit="1" customWidth="1"/>
    <col min="10961" max="10961" width="17.7109375" style="1" bestFit="1" customWidth="1"/>
    <col min="10962" max="10962" width="0.7109375" style="1" customWidth="1"/>
    <col min="10963" max="10963" width="19.140625" style="1" bestFit="1" customWidth="1"/>
    <col min="10964" max="10964" width="17.7109375" style="1" bestFit="1" customWidth="1"/>
    <col min="10965" max="10965" width="29.85546875" style="1" bestFit="1" customWidth="1"/>
    <col min="10966" max="10966" width="6" style="1" bestFit="1" customWidth="1"/>
    <col min="10967" max="10967" width="11.7109375" style="1" bestFit="1" customWidth="1"/>
    <col min="10968" max="10968" width="15.85546875" style="1" bestFit="1" customWidth="1"/>
    <col min="10969" max="11212" width="9.140625" style="1"/>
    <col min="11213" max="11213" width="12.7109375" style="1" bestFit="1" customWidth="1"/>
    <col min="11214" max="11214" width="13.85546875" style="1" bestFit="1" customWidth="1"/>
    <col min="11215" max="11215" width="17.85546875" style="1" bestFit="1" customWidth="1"/>
    <col min="11216" max="11216" width="19.7109375" style="1" bestFit="1" customWidth="1"/>
    <col min="11217" max="11217" width="17.7109375" style="1" bestFit="1" customWidth="1"/>
    <col min="11218" max="11218" width="0.7109375" style="1" customWidth="1"/>
    <col min="11219" max="11219" width="19.140625" style="1" bestFit="1" customWidth="1"/>
    <col min="11220" max="11220" width="17.7109375" style="1" bestFit="1" customWidth="1"/>
    <col min="11221" max="11221" width="29.85546875" style="1" bestFit="1" customWidth="1"/>
    <col min="11222" max="11222" width="6" style="1" bestFit="1" customWidth="1"/>
    <col min="11223" max="11223" width="11.7109375" style="1" bestFit="1" customWidth="1"/>
    <col min="11224" max="11224" width="15.85546875" style="1" bestFit="1" customWidth="1"/>
    <col min="11225" max="11468" width="9.140625" style="1"/>
    <col min="11469" max="11469" width="12.7109375" style="1" bestFit="1" customWidth="1"/>
    <col min="11470" max="11470" width="13.85546875" style="1" bestFit="1" customWidth="1"/>
    <col min="11471" max="11471" width="17.85546875" style="1" bestFit="1" customWidth="1"/>
    <col min="11472" max="11472" width="19.7109375" style="1" bestFit="1" customWidth="1"/>
    <col min="11473" max="11473" width="17.7109375" style="1" bestFit="1" customWidth="1"/>
    <col min="11474" max="11474" width="0.7109375" style="1" customWidth="1"/>
    <col min="11475" max="11475" width="19.140625" style="1" bestFit="1" customWidth="1"/>
    <col min="11476" max="11476" width="17.7109375" style="1" bestFit="1" customWidth="1"/>
    <col min="11477" max="11477" width="29.85546875" style="1" bestFit="1" customWidth="1"/>
    <col min="11478" max="11478" width="6" style="1" bestFit="1" customWidth="1"/>
    <col min="11479" max="11479" width="11.7109375" style="1" bestFit="1" customWidth="1"/>
    <col min="11480" max="11480" width="15.85546875" style="1" bestFit="1" customWidth="1"/>
    <col min="11481" max="11724" width="9.140625" style="1"/>
    <col min="11725" max="11725" width="12.7109375" style="1" bestFit="1" customWidth="1"/>
    <col min="11726" max="11726" width="13.85546875" style="1" bestFit="1" customWidth="1"/>
    <col min="11727" max="11727" width="17.85546875" style="1" bestFit="1" customWidth="1"/>
    <col min="11728" max="11728" width="19.7109375" style="1" bestFit="1" customWidth="1"/>
    <col min="11729" max="11729" width="17.7109375" style="1" bestFit="1" customWidth="1"/>
    <col min="11730" max="11730" width="0.7109375" style="1" customWidth="1"/>
    <col min="11731" max="11731" width="19.140625" style="1" bestFit="1" customWidth="1"/>
    <col min="11732" max="11732" width="17.7109375" style="1" bestFit="1" customWidth="1"/>
    <col min="11733" max="11733" width="29.85546875" style="1" bestFit="1" customWidth="1"/>
    <col min="11734" max="11734" width="6" style="1" bestFit="1" customWidth="1"/>
    <col min="11735" max="11735" width="11.7109375" style="1" bestFit="1" customWidth="1"/>
    <col min="11736" max="11736" width="15.85546875" style="1" bestFit="1" customWidth="1"/>
    <col min="11737" max="11980" width="9.140625" style="1"/>
    <col min="11981" max="11981" width="12.7109375" style="1" bestFit="1" customWidth="1"/>
    <col min="11982" max="11982" width="13.85546875" style="1" bestFit="1" customWidth="1"/>
    <col min="11983" max="11983" width="17.85546875" style="1" bestFit="1" customWidth="1"/>
    <col min="11984" max="11984" width="19.7109375" style="1" bestFit="1" customWidth="1"/>
    <col min="11985" max="11985" width="17.7109375" style="1" bestFit="1" customWidth="1"/>
    <col min="11986" max="11986" width="0.7109375" style="1" customWidth="1"/>
    <col min="11987" max="11987" width="19.140625" style="1" bestFit="1" customWidth="1"/>
    <col min="11988" max="11988" width="17.7109375" style="1" bestFit="1" customWidth="1"/>
    <col min="11989" max="11989" width="29.85546875" style="1" bestFit="1" customWidth="1"/>
    <col min="11990" max="11990" width="6" style="1" bestFit="1" customWidth="1"/>
    <col min="11991" max="11991" width="11.7109375" style="1" bestFit="1" customWidth="1"/>
    <col min="11992" max="11992" width="15.85546875" style="1" bestFit="1" customWidth="1"/>
    <col min="11993" max="12236" width="9.140625" style="1"/>
    <col min="12237" max="12237" width="12.7109375" style="1" bestFit="1" customWidth="1"/>
    <col min="12238" max="12238" width="13.85546875" style="1" bestFit="1" customWidth="1"/>
    <col min="12239" max="12239" width="17.85546875" style="1" bestFit="1" customWidth="1"/>
    <col min="12240" max="12240" width="19.7109375" style="1" bestFit="1" customWidth="1"/>
    <col min="12241" max="12241" width="17.7109375" style="1" bestFit="1" customWidth="1"/>
    <col min="12242" max="12242" width="0.7109375" style="1" customWidth="1"/>
    <col min="12243" max="12243" width="19.140625" style="1" bestFit="1" customWidth="1"/>
    <col min="12244" max="12244" width="17.7109375" style="1" bestFit="1" customWidth="1"/>
    <col min="12245" max="12245" width="29.85546875" style="1" bestFit="1" customWidth="1"/>
    <col min="12246" max="12246" width="6" style="1" bestFit="1" customWidth="1"/>
    <col min="12247" max="12247" width="11.7109375" style="1" bestFit="1" customWidth="1"/>
    <col min="12248" max="12248" width="15.85546875" style="1" bestFit="1" customWidth="1"/>
    <col min="12249" max="12492" width="9.140625" style="1"/>
    <col min="12493" max="12493" width="12.7109375" style="1" bestFit="1" customWidth="1"/>
    <col min="12494" max="12494" width="13.85546875" style="1" bestFit="1" customWidth="1"/>
    <col min="12495" max="12495" width="17.85546875" style="1" bestFit="1" customWidth="1"/>
    <col min="12496" max="12496" width="19.7109375" style="1" bestFit="1" customWidth="1"/>
    <col min="12497" max="12497" width="17.7109375" style="1" bestFit="1" customWidth="1"/>
    <col min="12498" max="12498" width="0.7109375" style="1" customWidth="1"/>
    <col min="12499" max="12499" width="19.140625" style="1" bestFit="1" customWidth="1"/>
    <col min="12500" max="12500" width="17.7109375" style="1" bestFit="1" customWidth="1"/>
    <col min="12501" max="12501" width="29.85546875" style="1" bestFit="1" customWidth="1"/>
    <col min="12502" max="12502" width="6" style="1" bestFit="1" customWidth="1"/>
    <col min="12503" max="12503" width="11.7109375" style="1" bestFit="1" customWidth="1"/>
    <col min="12504" max="12504" width="15.85546875" style="1" bestFit="1" customWidth="1"/>
    <col min="12505" max="12748" width="9.140625" style="1"/>
    <col min="12749" max="12749" width="12.7109375" style="1" bestFit="1" customWidth="1"/>
    <col min="12750" max="12750" width="13.85546875" style="1" bestFit="1" customWidth="1"/>
    <col min="12751" max="12751" width="17.85546875" style="1" bestFit="1" customWidth="1"/>
    <col min="12752" max="12752" width="19.7109375" style="1" bestFit="1" customWidth="1"/>
    <col min="12753" max="12753" width="17.7109375" style="1" bestFit="1" customWidth="1"/>
    <col min="12754" max="12754" width="0.7109375" style="1" customWidth="1"/>
    <col min="12755" max="12755" width="19.140625" style="1" bestFit="1" customWidth="1"/>
    <col min="12756" max="12756" width="17.7109375" style="1" bestFit="1" customWidth="1"/>
    <col min="12757" max="12757" width="29.85546875" style="1" bestFit="1" customWidth="1"/>
    <col min="12758" max="12758" width="6" style="1" bestFit="1" customWidth="1"/>
    <col min="12759" max="12759" width="11.7109375" style="1" bestFit="1" customWidth="1"/>
    <col min="12760" max="12760" width="15.85546875" style="1" bestFit="1" customWidth="1"/>
    <col min="12761" max="13004" width="9.140625" style="1"/>
    <col min="13005" max="13005" width="12.7109375" style="1" bestFit="1" customWidth="1"/>
    <col min="13006" max="13006" width="13.85546875" style="1" bestFit="1" customWidth="1"/>
    <col min="13007" max="13007" width="17.85546875" style="1" bestFit="1" customWidth="1"/>
    <col min="13008" max="13008" width="19.7109375" style="1" bestFit="1" customWidth="1"/>
    <col min="13009" max="13009" width="17.7109375" style="1" bestFit="1" customWidth="1"/>
    <col min="13010" max="13010" width="0.7109375" style="1" customWidth="1"/>
    <col min="13011" max="13011" width="19.140625" style="1" bestFit="1" customWidth="1"/>
    <col min="13012" max="13012" width="17.7109375" style="1" bestFit="1" customWidth="1"/>
    <col min="13013" max="13013" width="29.85546875" style="1" bestFit="1" customWidth="1"/>
    <col min="13014" max="13014" width="6" style="1" bestFit="1" customWidth="1"/>
    <col min="13015" max="13015" width="11.7109375" style="1" bestFit="1" customWidth="1"/>
    <col min="13016" max="13016" width="15.85546875" style="1" bestFit="1" customWidth="1"/>
    <col min="13017" max="13260" width="9.140625" style="1"/>
    <col min="13261" max="13261" width="12.7109375" style="1" bestFit="1" customWidth="1"/>
    <col min="13262" max="13262" width="13.85546875" style="1" bestFit="1" customWidth="1"/>
    <col min="13263" max="13263" width="17.85546875" style="1" bestFit="1" customWidth="1"/>
    <col min="13264" max="13264" width="19.7109375" style="1" bestFit="1" customWidth="1"/>
    <col min="13265" max="13265" width="17.7109375" style="1" bestFit="1" customWidth="1"/>
    <col min="13266" max="13266" width="0.7109375" style="1" customWidth="1"/>
    <col min="13267" max="13267" width="19.140625" style="1" bestFit="1" customWidth="1"/>
    <col min="13268" max="13268" width="17.7109375" style="1" bestFit="1" customWidth="1"/>
    <col min="13269" max="13269" width="29.85546875" style="1" bestFit="1" customWidth="1"/>
    <col min="13270" max="13270" width="6" style="1" bestFit="1" customWidth="1"/>
    <col min="13271" max="13271" width="11.7109375" style="1" bestFit="1" customWidth="1"/>
    <col min="13272" max="13272" width="15.85546875" style="1" bestFit="1" customWidth="1"/>
    <col min="13273" max="13516" width="9.140625" style="1"/>
    <col min="13517" max="13517" width="12.7109375" style="1" bestFit="1" customWidth="1"/>
    <col min="13518" max="13518" width="13.85546875" style="1" bestFit="1" customWidth="1"/>
    <col min="13519" max="13519" width="17.85546875" style="1" bestFit="1" customWidth="1"/>
    <col min="13520" max="13520" width="19.7109375" style="1" bestFit="1" customWidth="1"/>
    <col min="13521" max="13521" width="17.7109375" style="1" bestFit="1" customWidth="1"/>
    <col min="13522" max="13522" width="0.7109375" style="1" customWidth="1"/>
    <col min="13523" max="13523" width="19.140625" style="1" bestFit="1" customWidth="1"/>
    <col min="13524" max="13524" width="17.7109375" style="1" bestFit="1" customWidth="1"/>
    <col min="13525" max="13525" width="29.85546875" style="1" bestFit="1" customWidth="1"/>
    <col min="13526" max="13526" width="6" style="1" bestFit="1" customWidth="1"/>
    <col min="13527" max="13527" width="11.7109375" style="1" bestFit="1" customWidth="1"/>
    <col min="13528" max="13528" width="15.85546875" style="1" bestFit="1" customWidth="1"/>
    <col min="13529" max="13772" width="9.140625" style="1"/>
    <col min="13773" max="13773" width="12.7109375" style="1" bestFit="1" customWidth="1"/>
    <col min="13774" max="13774" width="13.85546875" style="1" bestFit="1" customWidth="1"/>
    <col min="13775" max="13775" width="17.85546875" style="1" bestFit="1" customWidth="1"/>
    <col min="13776" max="13776" width="19.7109375" style="1" bestFit="1" customWidth="1"/>
    <col min="13777" max="13777" width="17.7109375" style="1" bestFit="1" customWidth="1"/>
    <col min="13778" max="13778" width="0.7109375" style="1" customWidth="1"/>
    <col min="13779" max="13779" width="19.140625" style="1" bestFit="1" customWidth="1"/>
    <col min="13780" max="13780" width="17.7109375" style="1" bestFit="1" customWidth="1"/>
    <col min="13781" max="13781" width="29.85546875" style="1" bestFit="1" customWidth="1"/>
    <col min="13782" max="13782" width="6" style="1" bestFit="1" customWidth="1"/>
    <col min="13783" max="13783" width="11.7109375" style="1" bestFit="1" customWidth="1"/>
    <col min="13784" max="13784" width="15.85546875" style="1" bestFit="1" customWidth="1"/>
    <col min="13785" max="14028" width="9.140625" style="1"/>
    <col min="14029" max="14029" width="12.7109375" style="1" bestFit="1" customWidth="1"/>
    <col min="14030" max="14030" width="13.85546875" style="1" bestFit="1" customWidth="1"/>
    <col min="14031" max="14031" width="17.85546875" style="1" bestFit="1" customWidth="1"/>
    <col min="14032" max="14032" width="19.7109375" style="1" bestFit="1" customWidth="1"/>
    <col min="14033" max="14033" width="17.7109375" style="1" bestFit="1" customWidth="1"/>
    <col min="14034" max="14034" width="0.7109375" style="1" customWidth="1"/>
    <col min="14035" max="14035" width="19.140625" style="1" bestFit="1" customWidth="1"/>
    <col min="14036" max="14036" width="17.7109375" style="1" bestFit="1" customWidth="1"/>
    <col min="14037" max="14037" width="29.85546875" style="1" bestFit="1" customWidth="1"/>
    <col min="14038" max="14038" width="6" style="1" bestFit="1" customWidth="1"/>
    <col min="14039" max="14039" width="11.7109375" style="1" bestFit="1" customWidth="1"/>
    <col min="14040" max="14040" width="15.85546875" style="1" bestFit="1" customWidth="1"/>
    <col min="14041" max="14284" width="9.140625" style="1"/>
    <col min="14285" max="14285" width="12.7109375" style="1" bestFit="1" customWidth="1"/>
    <col min="14286" max="14286" width="13.85546875" style="1" bestFit="1" customWidth="1"/>
    <col min="14287" max="14287" width="17.85546875" style="1" bestFit="1" customWidth="1"/>
    <col min="14288" max="14288" width="19.7109375" style="1" bestFit="1" customWidth="1"/>
    <col min="14289" max="14289" width="17.7109375" style="1" bestFit="1" customWidth="1"/>
    <col min="14290" max="14290" width="0.7109375" style="1" customWidth="1"/>
    <col min="14291" max="14291" width="19.140625" style="1" bestFit="1" customWidth="1"/>
    <col min="14292" max="14292" width="17.7109375" style="1" bestFit="1" customWidth="1"/>
    <col min="14293" max="14293" width="29.85546875" style="1" bestFit="1" customWidth="1"/>
    <col min="14294" max="14294" width="6" style="1" bestFit="1" customWidth="1"/>
    <col min="14295" max="14295" width="11.7109375" style="1" bestFit="1" customWidth="1"/>
    <col min="14296" max="14296" width="15.85546875" style="1" bestFit="1" customWidth="1"/>
    <col min="14297" max="14540" width="9.140625" style="1"/>
    <col min="14541" max="14541" width="12.7109375" style="1" bestFit="1" customWidth="1"/>
    <col min="14542" max="14542" width="13.85546875" style="1" bestFit="1" customWidth="1"/>
    <col min="14543" max="14543" width="17.85546875" style="1" bestFit="1" customWidth="1"/>
    <col min="14544" max="14544" width="19.7109375" style="1" bestFit="1" customWidth="1"/>
    <col min="14545" max="14545" width="17.7109375" style="1" bestFit="1" customWidth="1"/>
    <col min="14546" max="14546" width="0.7109375" style="1" customWidth="1"/>
    <col min="14547" max="14547" width="19.140625" style="1" bestFit="1" customWidth="1"/>
    <col min="14548" max="14548" width="17.7109375" style="1" bestFit="1" customWidth="1"/>
    <col min="14549" max="14549" width="29.85546875" style="1" bestFit="1" customWidth="1"/>
    <col min="14550" max="14550" width="6" style="1" bestFit="1" customWidth="1"/>
    <col min="14551" max="14551" width="11.7109375" style="1" bestFit="1" customWidth="1"/>
    <col min="14552" max="14552" width="15.85546875" style="1" bestFit="1" customWidth="1"/>
    <col min="14553" max="14796" width="9.140625" style="1"/>
    <col min="14797" max="14797" width="12.7109375" style="1" bestFit="1" customWidth="1"/>
    <col min="14798" max="14798" width="13.85546875" style="1" bestFit="1" customWidth="1"/>
    <col min="14799" max="14799" width="17.85546875" style="1" bestFit="1" customWidth="1"/>
    <col min="14800" max="14800" width="19.7109375" style="1" bestFit="1" customWidth="1"/>
    <col min="14801" max="14801" width="17.7109375" style="1" bestFit="1" customWidth="1"/>
    <col min="14802" max="14802" width="0.7109375" style="1" customWidth="1"/>
    <col min="14803" max="14803" width="19.140625" style="1" bestFit="1" customWidth="1"/>
    <col min="14804" max="14804" width="17.7109375" style="1" bestFit="1" customWidth="1"/>
    <col min="14805" max="14805" width="29.85546875" style="1" bestFit="1" customWidth="1"/>
    <col min="14806" max="14806" width="6" style="1" bestFit="1" customWidth="1"/>
    <col min="14807" max="14807" width="11.7109375" style="1" bestFit="1" customWidth="1"/>
    <col min="14808" max="14808" width="15.85546875" style="1" bestFit="1" customWidth="1"/>
    <col min="14809" max="15052" width="9.140625" style="1"/>
    <col min="15053" max="15053" width="12.7109375" style="1" bestFit="1" customWidth="1"/>
    <col min="15054" max="15054" width="13.85546875" style="1" bestFit="1" customWidth="1"/>
    <col min="15055" max="15055" width="17.85546875" style="1" bestFit="1" customWidth="1"/>
    <col min="15056" max="15056" width="19.7109375" style="1" bestFit="1" customWidth="1"/>
    <col min="15057" max="15057" width="17.7109375" style="1" bestFit="1" customWidth="1"/>
    <col min="15058" max="15058" width="0.7109375" style="1" customWidth="1"/>
    <col min="15059" max="15059" width="19.140625" style="1" bestFit="1" customWidth="1"/>
    <col min="15060" max="15060" width="17.7109375" style="1" bestFit="1" customWidth="1"/>
    <col min="15061" max="15061" width="29.85546875" style="1" bestFit="1" customWidth="1"/>
    <col min="15062" max="15062" width="6" style="1" bestFit="1" customWidth="1"/>
    <col min="15063" max="15063" width="11.7109375" style="1" bestFit="1" customWidth="1"/>
    <col min="15064" max="15064" width="15.85546875" style="1" bestFit="1" customWidth="1"/>
    <col min="15065" max="15308" width="9.140625" style="1"/>
    <col min="15309" max="15309" width="12.7109375" style="1" bestFit="1" customWidth="1"/>
    <col min="15310" max="15310" width="13.85546875" style="1" bestFit="1" customWidth="1"/>
    <col min="15311" max="15311" width="17.85546875" style="1" bestFit="1" customWidth="1"/>
    <col min="15312" max="15312" width="19.7109375" style="1" bestFit="1" customWidth="1"/>
    <col min="15313" max="15313" width="17.7109375" style="1" bestFit="1" customWidth="1"/>
    <col min="15314" max="15314" width="0.7109375" style="1" customWidth="1"/>
    <col min="15315" max="15315" width="19.140625" style="1" bestFit="1" customWidth="1"/>
    <col min="15316" max="15316" width="17.7109375" style="1" bestFit="1" customWidth="1"/>
    <col min="15317" max="15317" width="29.85546875" style="1" bestFit="1" customWidth="1"/>
    <col min="15318" max="15318" width="6" style="1" bestFit="1" customWidth="1"/>
    <col min="15319" max="15319" width="11.7109375" style="1" bestFit="1" customWidth="1"/>
    <col min="15320" max="15320" width="15.85546875" style="1" bestFit="1" customWidth="1"/>
    <col min="15321" max="15564" width="9.140625" style="1"/>
    <col min="15565" max="15565" width="12.7109375" style="1" bestFit="1" customWidth="1"/>
    <col min="15566" max="15566" width="13.85546875" style="1" bestFit="1" customWidth="1"/>
    <col min="15567" max="15567" width="17.85546875" style="1" bestFit="1" customWidth="1"/>
    <col min="15568" max="15568" width="19.7109375" style="1" bestFit="1" customWidth="1"/>
    <col min="15569" max="15569" width="17.7109375" style="1" bestFit="1" customWidth="1"/>
    <col min="15570" max="15570" width="0.7109375" style="1" customWidth="1"/>
    <col min="15571" max="15571" width="19.140625" style="1" bestFit="1" customWidth="1"/>
    <col min="15572" max="15572" width="17.7109375" style="1" bestFit="1" customWidth="1"/>
    <col min="15573" max="15573" width="29.85546875" style="1" bestFit="1" customWidth="1"/>
    <col min="15574" max="15574" width="6" style="1" bestFit="1" customWidth="1"/>
    <col min="15575" max="15575" width="11.7109375" style="1" bestFit="1" customWidth="1"/>
    <col min="15576" max="15576" width="15.85546875" style="1" bestFit="1" customWidth="1"/>
    <col min="15577" max="15820" width="9.140625" style="1"/>
    <col min="15821" max="15821" width="12.7109375" style="1" bestFit="1" customWidth="1"/>
    <col min="15822" max="15822" width="13.85546875" style="1" bestFit="1" customWidth="1"/>
    <col min="15823" max="15823" width="17.85546875" style="1" bestFit="1" customWidth="1"/>
    <col min="15824" max="15824" width="19.7109375" style="1" bestFit="1" customWidth="1"/>
    <col min="15825" max="15825" width="17.7109375" style="1" bestFit="1" customWidth="1"/>
    <col min="15826" max="15826" width="0.7109375" style="1" customWidth="1"/>
    <col min="15827" max="15827" width="19.140625" style="1" bestFit="1" customWidth="1"/>
    <col min="15828" max="15828" width="17.7109375" style="1" bestFit="1" customWidth="1"/>
    <col min="15829" max="15829" width="29.85546875" style="1" bestFit="1" customWidth="1"/>
    <col min="15830" max="15830" width="6" style="1" bestFit="1" customWidth="1"/>
    <col min="15831" max="15831" width="11.7109375" style="1" bestFit="1" customWidth="1"/>
    <col min="15832" max="15832" width="15.85546875" style="1" bestFit="1" customWidth="1"/>
    <col min="15833" max="16076" width="9.140625" style="1"/>
    <col min="16077" max="16077" width="12.7109375" style="1" bestFit="1" customWidth="1"/>
    <col min="16078" max="16078" width="13.85546875" style="1" bestFit="1" customWidth="1"/>
    <col min="16079" max="16079" width="17.85546875" style="1" bestFit="1" customWidth="1"/>
    <col min="16080" max="16080" width="19.7109375" style="1" bestFit="1" customWidth="1"/>
    <col min="16081" max="16081" width="17.7109375" style="1" bestFit="1" customWidth="1"/>
    <col min="16082" max="16082" width="0.7109375" style="1" customWidth="1"/>
    <col min="16083" max="16083" width="19.140625" style="1" bestFit="1" customWidth="1"/>
    <col min="16084" max="16084" width="17.7109375" style="1" bestFit="1" customWidth="1"/>
    <col min="16085" max="16085" width="29.85546875" style="1" bestFit="1" customWidth="1"/>
    <col min="16086" max="16086" width="6" style="1" bestFit="1" customWidth="1"/>
    <col min="16087" max="16087" width="11.7109375" style="1" bestFit="1" customWidth="1"/>
    <col min="16088" max="16088" width="15.85546875" style="1" bestFit="1" customWidth="1"/>
    <col min="16089" max="16384" width="9.140625" style="1"/>
  </cols>
  <sheetData>
    <row r="1" spans="1:10" ht="42.75" x14ac:dyDescent="0.5">
      <c r="A1" s="35"/>
      <c r="B1" s="175"/>
      <c r="C1" s="175"/>
      <c r="D1" s="175"/>
      <c r="E1" s="175"/>
      <c r="F1" s="36"/>
      <c r="G1" s="35"/>
    </row>
    <row r="2" spans="1:10" ht="27" customHeight="1" x14ac:dyDescent="0.65">
      <c r="A2" s="35"/>
      <c r="B2" s="176" t="s">
        <v>535</v>
      </c>
      <c r="C2" s="176"/>
      <c r="D2" s="176"/>
      <c r="E2" s="176"/>
      <c r="F2" s="163"/>
      <c r="G2" s="35"/>
    </row>
    <row r="3" spans="1:10" ht="17.25" customHeight="1" thickBot="1" x14ac:dyDescent="0.75">
      <c r="A3" s="35"/>
      <c r="B3" s="37"/>
      <c r="C3" s="37"/>
      <c r="D3" s="37"/>
      <c r="E3" s="58"/>
      <c r="F3" s="36"/>
      <c r="G3" s="35"/>
    </row>
    <row r="4" spans="1:10" ht="24" customHeight="1" thickBot="1" x14ac:dyDescent="0.75">
      <c r="A4" s="35"/>
      <c r="B4" s="88" t="s">
        <v>1</v>
      </c>
      <c r="C4" s="88" t="s">
        <v>0</v>
      </c>
      <c r="D4" s="38"/>
      <c r="E4" s="79" t="s">
        <v>182</v>
      </c>
      <c r="F4" s="36"/>
      <c r="G4" s="35"/>
    </row>
    <row r="5" spans="1:10" ht="26.25" customHeight="1" x14ac:dyDescent="0.5">
      <c r="A5" s="35"/>
      <c r="B5" s="41">
        <v>1</v>
      </c>
      <c r="C5" s="42" t="s">
        <v>207</v>
      </c>
      <c r="D5" s="28"/>
      <c r="E5" s="40">
        <f>'ریز محاسبات'!J210*'ریز محاسبات'!H210</f>
        <v>63595717.45551423</v>
      </c>
      <c r="F5" s="36"/>
      <c r="G5" s="39"/>
      <c r="H5" s="81"/>
      <c r="J5" s="81"/>
    </row>
    <row r="6" spans="1:10" ht="26.25" customHeight="1" x14ac:dyDescent="0.5">
      <c r="A6" s="35"/>
      <c r="B6" s="41">
        <v>2</v>
      </c>
      <c r="C6" s="42" t="s">
        <v>2</v>
      </c>
      <c r="D6" s="28"/>
      <c r="E6" s="43">
        <f>'ریز محاسبات'!AH210</f>
        <v>9150000</v>
      </c>
      <c r="F6" s="36"/>
      <c r="H6" s="81"/>
    </row>
    <row r="7" spans="1:10" ht="26.25" customHeight="1" x14ac:dyDescent="0.5">
      <c r="A7" s="35"/>
      <c r="B7" s="41">
        <v>3</v>
      </c>
      <c r="C7" s="42" t="s">
        <v>3</v>
      </c>
      <c r="D7" s="28"/>
      <c r="E7" s="43">
        <f>'ریز محاسبات'!AJ210</f>
        <v>11183333.333333334</v>
      </c>
      <c r="F7" s="36"/>
      <c r="G7" s="39"/>
      <c r="H7" s="81"/>
    </row>
    <row r="8" spans="1:10" ht="26.25" customHeight="1" x14ac:dyDescent="0.5">
      <c r="A8" s="35"/>
      <c r="B8" s="41">
        <v>4</v>
      </c>
      <c r="C8" s="42" t="s">
        <v>4</v>
      </c>
      <c r="D8" s="28"/>
      <c r="E8" s="43">
        <f>'ریز محاسبات'!T210</f>
        <v>6642160.4923076918</v>
      </c>
      <c r="F8" s="36"/>
      <c r="G8" s="39"/>
      <c r="H8" s="81"/>
    </row>
    <row r="9" spans="1:10" ht="26.25" customHeight="1" x14ac:dyDescent="0.5">
      <c r="A9" s="35"/>
      <c r="B9" s="41">
        <v>5</v>
      </c>
      <c r="C9" s="42" t="s">
        <v>5</v>
      </c>
      <c r="D9" s="28"/>
      <c r="E9" s="43">
        <f>'ریز محاسبات'!AO213</f>
        <v>10425527.451723645</v>
      </c>
      <c r="F9" s="36"/>
      <c r="G9" s="39"/>
      <c r="H9" s="81"/>
    </row>
    <row r="10" spans="1:10" ht="26.25" customHeight="1" x14ac:dyDescent="0.5">
      <c r="A10" s="35"/>
      <c r="B10" s="41">
        <v>6</v>
      </c>
      <c r="C10" s="42" t="s">
        <v>6</v>
      </c>
      <c r="D10" s="28"/>
      <c r="E10" s="43">
        <f>'ریز محاسبات'!AO214</f>
        <v>5212763.7258618223</v>
      </c>
      <c r="F10" s="36"/>
      <c r="G10" s="65"/>
      <c r="H10" s="81"/>
    </row>
    <row r="11" spans="1:10" ht="26.25" customHeight="1" x14ac:dyDescent="0.5">
      <c r="A11" s="35"/>
      <c r="B11" s="41">
        <v>7</v>
      </c>
      <c r="C11" s="45" t="s">
        <v>70</v>
      </c>
      <c r="D11" s="28"/>
      <c r="E11" s="43" t="s">
        <v>7</v>
      </c>
      <c r="F11" s="36"/>
      <c r="G11" s="39"/>
      <c r="H11" s="81"/>
    </row>
    <row r="12" spans="1:10" ht="26.25" customHeight="1" x14ac:dyDescent="0.5">
      <c r="A12" s="35"/>
      <c r="B12" s="41">
        <v>8</v>
      </c>
      <c r="C12" s="42" t="s">
        <v>8</v>
      </c>
      <c r="D12" s="28"/>
      <c r="E12" s="43" t="s">
        <v>7</v>
      </c>
      <c r="F12" s="36"/>
      <c r="G12" s="39"/>
      <c r="H12" s="81"/>
    </row>
    <row r="13" spans="1:10" ht="26.25" customHeight="1" x14ac:dyDescent="0.5">
      <c r="A13" s="35"/>
      <c r="B13" s="41">
        <v>9</v>
      </c>
      <c r="C13" s="42" t="s">
        <v>36</v>
      </c>
      <c r="D13" s="28"/>
      <c r="E13" s="43">
        <f>'ریز محاسبات'!P210</f>
        <v>2261315.3555463678</v>
      </c>
      <c r="F13" s="36"/>
      <c r="G13" s="39"/>
      <c r="H13" s="81"/>
    </row>
    <row r="14" spans="1:10" ht="26.25" customHeight="1" x14ac:dyDescent="0.5">
      <c r="A14" s="35"/>
      <c r="B14" s="41">
        <v>10</v>
      </c>
      <c r="C14" s="42" t="s">
        <v>206</v>
      </c>
      <c r="D14" s="28"/>
      <c r="E14" s="43">
        <f>'ریز محاسبات'!AF210</f>
        <v>184377.80256410255</v>
      </c>
      <c r="F14" s="36"/>
      <c r="G14" s="39"/>
      <c r="H14" s="81"/>
    </row>
    <row r="15" spans="1:10" ht="26.25" customHeight="1" x14ac:dyDescent="0.5">
      <c r="A15" s="35"/>
      <c r="B15" s="41">
        <v>11</v>
      </c>
      <c r="C15" s="42" t="s">
        <v>9</v>
      </c>
      <c r="D15" s="28"/>
      <c r="E15" s="43" t="s">
        <v>7</v>
      </c>
      <c r="F15" s="36"/>
      <c r="G15" s="39"/>
      <c r="H15" s="81"/>
    </row>
    <row r="16" spans="1:10" ht="26.25" customHeight="1" x14ac:dyDescent="0.55000000000000004">
      <c r="A16" s="35"/>
      <c r="B16" s="41">
        <v>12</v>
      </c>
      <c r="C16" s="42" t="s">
        <v>184</v>
      </c>
      <c r="D16" s="28"/>
      <c r="E16" s="43">
        <f>'ریز محاسبات'!X210</f>
        <v>16011607.152584227</v>
      </c>
      <c r="F16" s="36"/>
      <c r="G16" s="62"/>
      <c r="H16" s="81"/>
    </row>
    <row r="17" spans="1:9" ht="26.25" customHeight="1" x14ac:dyDescent="0.55000000000000004">
      <c r="A17" s="35"/>
      <c r="B17" s="41">
        <v>13</v>
      </c>
      <c r="C17" s="42" t="s">
        <v>183</v>
      </c>
      <c r="D17" s="28"/>
      <c r="E17" s="43">
        <f>'ریز محاسبات'!AB210</f>
        <v>1403246.0130525168</v>
      </c>
      <c r="F17" s="36"/>
      <c r="G17" s="46"/>
      <c r="H17" s="81"/>
    </row>
    <row r="18" spans="1:9" ht="24.75" customHeight="1" thickBot="1" x14ac:dyDescent="0.55000000000000004">
      <c r="A18" s="35"/>
      <c r="B18" s="41"/>
      <c r="C18" s="29"/>
      <c r="D18" s="28"/>
      <c r="E18" s="30"/>
      <c r="F18" s="36"/>
      <c r="H18" s="81"/>
    </row>
    <row r="19" spans="1:9" ht="27.75" customHeight="1" thickBot="1" x14ac:dyDescent="0.8">
      <c r="A19" s="35"/>
      <c r="B19" s="171" t="s">
        <v>10</v>
      </c>
      <c r="C19" s="172"/>
      <c r="D19" s="44"/>
      <c r="E19" s="47">
        <f>SUM(E5:E18)</f>
        <v>126070048.78248793</v>
      </c>
      <c r="F19" s="48"/>
      <c r="G19" s="89">
        <v>16.669998710000002</v>
      </c>
      <c r="H19" s="81"/>
      <c r="I19" s="87"/>
    </row>
    <row r="20" spans="1:9" ht="31.5" customHeight="1" thickBot="1" x14ac:dyDescent="0.8">
      <c r="A20" s="35"/>
      <c r="B20" s="173" t="s">
        <v>11</v>
      </c>
      <c r="C20" s="174"/>
      <c r="D20" s="28"/>
      <c r="E20" s="49">
        <f>E23*G19/100</f>
        <v>25220059.018838774</v>
      </c>
      <c r="F20" s="48"/>
      <c r="G20" s="89"/>
    </row>
    <row r="21" spans="1:9" ht="27.75" customHeight="1" thickBot="1" x14ac:dyDescent="0.6">
      <c r="A21" s="35"/>
      <c r="B21" s="177" t="s">
        <v>216</v>
      </c>
      <c r="C21" s="178"/>
      <c r="D21" s="44"/>
      <c r="E21" s="91">
        <f>G20</f>
        <v>0</v>
      </c>
      <c r="F21" s="36"/>
      <c r="G21" s="90">
        <f>(100-G19-G20)/100</f>
        <v>0.8333000129</v>
      </c>
    </row>
    <row r="22" spans="1:9" ht="27.75" customHeight="1" thickBot="1" x14ac:dyDescent="0.6">
      <c r="A22" s="35"/>
      <c r="B22" s="179"/>
      <c r="C22" s="180"/>
      <c r="D22" s="44"/>
      <c r="E22" s="92">
        <f>ROUND(E23*G20/100,0)</f>
        <v>0</v>
      </c>
      <c r="F22" s="46"/>
    </row>
    <row r="23" spans="1:9" ht="27.75" customHeight="1" thickBot="1" x14ac:dyDescent="0.8">
      <c r="A23" s="35"/>
      <c r="B23" s="171" t="s">
        <v>37</v>
      </c>
      <c r="C23" s="172"/>
      <c r="D23" s="44"/>
      <c r="E23" s="47">
        <f>E19/G21</f>
        <v>151290107.80132669</v>
      </c>
      <c r="F23" s="50"/>
      <c r="H23" s="87">
        <f>E23-E22</f>
        <v>151290107.80132669</v>
      </c>
    </row>
    <row r="24" spans="1:9" ht="27.75" customHeight="1" thickBot="1" x14ac:dyDescent="0.8">
      <c r="A24" s="35"/>
      <c r="B24" s="173" t="s">
        <v>12</v>
      </c>
      <c r="C24" s="174"/>
      <c r="D24" s="53"/>
      <c r="E24" s="164">
        <f>'ریز محاسبات'!F210</f>
        <v>117</v>
      </c>
      <c r="F24" s="50"/>
    </row>
    <row r="25" spans="1:9" ht="27.75" customHeight="1" thickBot="1" x14ac:dyDescent="0.55000000000000004">
      <c r="A25" s="35"/>
      <c r="B25" s="171" t="s">
        <v>13</v>
      </c>
      <c r="C25" s="172"/>
      <c r="D25" s="44"/>
      <c r="E25" s="47">
        <f>E24*E23</f>
        <v>17700942612.755222</v>
      </c>
      <c r="F25" s="51"/>
    </row>
    <row r="26" spans="1:9" ht="25.5" customHeight="1" thickBot="1" x14ac:dyDescent="0.55000000000000004">
      <c r="A26" s="35"/>
      <c r="B26" s="171" t="s">
        <v>208</v>
      </c>
      <c r="C26" s="172"/>
      <c r="D26" s="56"/>
      <c r="E26" s="47">
        <f>E25*12</f>
        <v>212411311353.06268</v>
      </c>
      <c r="F26" s="36"/>
    </row>
    <row r="27" spans="1:9" ht="19.5" customHeight="1" x14ac:dyDescent="0.5">
      <c r="A27" s="35"/>
      <c r="B27" s="57"/>
      <c r="C27" s="57"/>
      <c r="D27" s="57"/>
      <c r="E27" s="57"/>
      <c r="F27" s="36"/>
    </row>
    <row r="28" spans="1:9" ht="28.5" customHeight="1" x14ac:dyDescent="0.5">
      <c r="A28" s="35"/>
      <c r="B28" s="57"/>
      <c r="C28" s="57"/>
      <c r="D28" s="57"/>
      <c r="E28" s="80" t="s">
        <v>179</v>
      </c>
      <c r="F28" s="36"/>
    </row>
    <row r="29" spans="1:9" ht="26.25" customHeight="1" x14ac:dyDescent="0.5">
      <c r="A29" s="35"/>
      <c r="F29" s="36"/>
    </row>
    <row r="30" spans="1:9" s="26" customFormat="1" ht="26.25" customHeight="1" x14ac:dyDescent="0.65">
      <c r="B30" s="59"/>
      <c r="C30" s="59"/>
      <c r="D30" s="60"/>
      <c r="E30" s="60"/>
      <c r="F30" s="27"/>
      <c r="G30" s="54"/>
      <c r="H30" s="1"/>
      <c r="I30" s="1"/>
    </row>
    <row r="31" spans="1:9" s="26" customFormat="1" ht="30" x14ac:dyDescent="0.65">
      <c r="B31" s="59"/>
      <c r="C31" s="59"/>
      <c r="D31" s="60"/>
      <c r="E31" s="60"/>
      <c r="F31" s="27"/>
      <c r="H31" s="1"/>
      <c r="I31" s="1"/>
    </row>
    <row r="32" spans="1:9" s="26" customFormat="1" ht="27.75" x14ac:dyDescent="0.65">
      <c r="B32" s="61"/>
      <c r="C32" s="61"/>
      <c r="D32" s="61"/>
      <c r="E32" s="61"/>
      <c r="F32" s="27"/>
      <c r="H32" s="1"/>
      <c r="I32" s="1"/>
    </row>
    <row r="33" spans="2:9" s="26" customFormat="1" ht="27.75" x14ac:dyDescent="0.65">
      <c r="B33" s="61"/>
      <c r="C33" s="61"/>
      <c r="D33" s="61"/>
      <c r="E33" s="61"/>
      <c r="F33" s="27"/>
      <c r="H33" s="1"/>
      <c r="I33" s="1"/>
    </row>
    <row r="34" spans="2:9" s="26" customFormat="1" ht="27.75" x14ac:dyDescent="0.65">
      <c r="B34" s="61"/>
      <c r="C34" s="61"/>
      <c r="D34" s="61"/>
      <c r="E34" s="61"/>
      <c r="F34" s="27"/>
      <c r="H34" s="1"/>
      <c r="I34" s="1"/>
    </row>
    <row r="35" spans="2:9" s="26" customFormat="1" ht="27.75" x14ac:dyDescent="0.65">
      <c r="B35" s="61"/>
      <c r="C35" s="61"/>
      <c r="D35" s="61"/>
      <c r="E35" s="61"/>
      <c r="F35" s="27"/>
      <c r="H35" s="1"/>
      <c r="I35" s="1"/>
    </row>
    <row r="36" spans="2:9" s="26" customFormat="1" ht="27.75" x14ac:dyDescent="0.65">
      <c r="B36" s="61"/>
      <c r="C36" s="61"/>
      <c r="D36" s="61"/>
      <c r="E36" s="61"/>
      <c r="F36" s="27"/>
      <c r="H36" s="1"/>
      <c r="I36" s="1"/>
    </row>
    <row r="37" spans="2:9" s="26" customFormat="1" ht="27.75" x14ac:dyDescent="0.65">
      <c r="B37" s="61"/>
      <c r="C37" s="61"/>
      <c r="D37" s="61"/>
      <c r="E37" s="61"/>
      <c r="F37" s="27"/>
    </row>
    <row r="38" spans="2:9" s="26" customFormat="1" ht="27.75" x14ac:dyDescent="0.65">
      <c r="B38" s="61"/>
      <c r="C38" s="61"/>
      <c r="D38" s="61"/>
      <c r="E38" s="61"/>
      <c r="F38" s="27"/>
    </row>
    <row r="39" spans="2:9" s="26" customFormat="1" ht="27.75" x14ac:dyDescent="0.65">
      <c r="B39" s="61"/>
      <c r="C39" s="61"/>
      <c r="D39" s="61"/>
      <c r="E39" s="61"/>
      <c r="F39" s="27"/>
    </row>
    <row r="40" spans="2:9" s="26" customFormat="1" ht="27.75" x14ac:dyDescent="0.65">
      <c r="B40" s="61"/>
      <c r="C40" s="61"/>
      <c r="D40" s="61"/>
      <c r="E40" s="61"/>
      <c r="F40" s="27"/>
    </row>
    <row r="50" ht="27" customHeight="1" x14ac:dyDescent="0.5"/>
  </sheetData>
  <mergeCells count="9">
    <mergeCell ref="B24:C24"/>
    <mergeCell ref="B25:C25"/>
    <mergeCell ref="B26:C26"/>
    <mergeCell ref="B1:E1"/>
    <mergeCell ref="B2:E2"/>
    <mergeCell ref="B19:C19"/>
    <mergeCell ref="B20:C20"/>
    <mergeCell ref="B21:C22"/>
    <mergeCell ref="B23:C23"/>
  </mergeCells>
  <printOptions horizontalCentered="1"/>
  <pageMargins left="0.28000000000000003" right="0.21" top="0" bottom="1.1811023622047245" header="0" footer="0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rightToLeft="1" zoomScale="70" zoomScaleNormal="70" workbookViewId="0">
      <selection activeCell="B1" sqref="B1:E29"/>
    </sheetView>
  </sheetViews>
  <sheetFormatPr defaultRowHeight="17.25" x14ac:dyDescent="0.5"/>
  <cols>
    <col min="1" max="1" width="9.140625" style="1"/>
    <col min="2" max="2" width="6" style="55" bestFit="1" customWidth="1"/>
    <col min="3" max="3" width="44" style="55" customWidth="1"/>
    <col min="4" max="4" width="0.7109375" style="55" customWidth="1"/>
    <col min="5" max="5" width="41.7109375" style="55" customWidth="1"/>
    <col min="6" max="6" width="8.7109375" style="14" customWidth="1"/>
    <col min="7" max="7" width="11.140625" style="1" bestFit="1" customWidth="1"/>
    <col min="8" max="8" width="18.5703125" style="1" bestFit="1" customWidth="1"/>
    <col min="9" max="9" width="17.28515625" style="1" bestFit="1" customWidth="1"/>
    <col min="10" max="11" width="23.42578125" style="1" customWidth="1"/>
    <col min="12" max="204" width="9.140625" style="1"/>
    <col min="205" max="205" width="12.7109375" style="1" bestFit="1" customWidth="1"/>
    <col min="206" max="206" width="13.85546875" style="1" bestFit="1" customWidth="1"/>
    <col min="207" max="207" width="17.85546875" style="1" bestFit="1" customWidth="1"/>
    <col min="208" max="208" width="19.7109375" style="1" bestFit="1" customWidth="1"/>
    <col min="209" max="209" width="17.7109375" style="1" bestFit="1" customWidth="1"/>
    <col min="210" max="210" width="0.7109375" style="1" customWidth="1"/>
    <col min="211" max="211" width="19.140625" style="1" bestFit="1" customWidth="1"/>
    <col min="212" max="212" width="17.7109375" style="1" bestFit="1" customWidth="1"/>
    <col min="213" max="213" width="29.85546875" style="1" bestFit="1" customWidth="1"/>
    <col min="214" max="214" width="6" style="1" bestFit="1" customWidth="1"/>
    <col min="215" max="215" width="11.7109375" style="1" bestFit="1" customWidth="1"/>
    <col min="216" max="216" width="15.85546875" style="1" bestFit="1" customWidth="1"/>
    <col min="217" max="460" width="9.140625" style="1"/>
    <col min="461" max="461" width="12.7109375" style="1" bestFit="1" customWidth="1"/>
    <col min="462" max="462" width="13.85546875" style="1" bestFit="1" customWidth="1"/>
    <col min="463" max="463" width="17.85546875" style="1" bestFit="1" customWidth="1"/>
    <col min="464" max="464" width="19.7109375" style="1" bestFit="1" customWidth="1"/>
    <col min="465" max="465" width="17.7109375" style="1" bestFit="1" customWidth="1"/>
    <col min="466" max="466" width="0.7109375" style="1" customWidth="1"/>
    <col min="467" max="467" width="19.140625" style="1" bestFit="1" customWidth="1"/>
    <col min="468" max="468" width="17.7109375" style="1" bestFit="1" customWidth="1"/>
    <col min="469" max="469" width="29.85546875" style="1" bestFit="1" customWidth="1"/>
    <col min="470" max="470" width="6" style="1" bestFit="1" customWidth="1"/>
    <col min="471" max="471" width="11.7109375" style="1" bestFit="1" customWidth="1"/>
    <col min="472" max="472" width="15.85546875" style="1" bestFit="1" customWidth="1"/>
    <col min="473" max="716" width="9.140625" style="1"/>
    <col min="717" max="717" width="12.7109375" style="1" bestFit="1" customWidth="1"/>
    <col min="718" max="718" width="13.85546875" style="1" bestFit="1" customWidth="1"/>
    <col min="719" max="719" width="17.85546875" style="1" bestFit="1" customWidth="1"/>
    <col min="720" max="720" width="19.7109375" style="1" bestFit="1" customWidth="1"/>
    <col min="721" max="721" width="17.7109375" style="1" bestFit="1" customWidth="1"/>
    <col min="722" max="722" width="0.7109375" style="1" customWidth="1"/>
    <col min="723" max="723" width="19.140625" style="1" bestFit="1" customWidth="1"/>
    <col min="724" max="724" width="17.7109375" style="1" bestFit="1" customWidth="1"/>
    <col min="725" max="725" width="29.85546875" style="1" bestFit="1" customWidth="1"/>
    <col min="726" max="726" width="6" style="1" bestFit="1" customWidth="1"/>
    <col min="727" max="727" width="11.7109375" style="1" bestFit="1" customWidth="1"/>
    <col min="728" max="728" width="15.85546875" style="1" bestFit="1" customWidth="1"/>
    <col min="729" max="972" width="9.140625" style="1"/>
    <col min="973" max="973" width="12.7109375" style="1" bestFit="1" customWidth="1"/>
    <col min="974" max="974" width="13.85546875" style="1" bestFit="1" customWidth="1"/>
    <col min="975" max="975" width="17.85546875" style="1" bestFit="1" customWidth="1"/>
    <col min="976" max="976" width="19.7109375" style="1" bestFit="1" customWidth="1"/>
    <col min="977" max="977" width="17.7109375" style="1" bestFit="1" customWidth="1"/>
    <col min="978" max="978" width="0.7109375" style="1" customWidth="1"/>
    <col min="979" max="979" width="19.140625" style="1" bestFit="1" customWidth="1"/>
    <col min="980" max="980" width="17.7109375" style="1" bestFit="1" customWidth="1"/>
    <col min="981" max="981" width="29.85546875" style="1" bestFit="1" customWidth="1"/>
    <col min="982" max="982" width="6" style="1" bestFit="1" customWidth="1"/>
    <col min="983" max="983" width="11.7109375" style="1" bestFit="1" customWidth="1"/>
    <col min="984" max="984" width="15.85546875" style="1" bestFit="1" customWidth="1"/>
    <col min="985" max="1228" width="9.140625" style="1"/>
    <col min="1229" max="1229" width="12.7109375" style="1" bestFit="1" customWidth="1"/>
    <col min="1230" max="1230" width="13.85546875" style="1" bestFit="1" customWidth="1"/>
    <col min="1231" max="1231" width="17.85546875" style="1" bestFit="1" customWidth="1"/>
    <col min="1232" max="1232" width="19.7109375" style="1" bestFit="1" customWidth="1"/>
    <col min="1233" max="1233" width="17.7109375" style="1" bestFit="1" customWidth="1"/>
    <col min="1234" max="1234" width="0.7109375" style="1" customWidth="1"/>
    <col min="1235" max="1235" width="19.140625" style="1" bestFit="1" customWidth="1"/>
    <col min="1236" max="1236" width="17.7109375" style="1" bestFit="1" customWidth="1"/>
    <col min="1237" max="1237" width="29.85546875" style="1" bestFit="1" customWidth="1"/>
    <col min="1238" max="1238" width="6" style="1" bestFit="1" customWidth="1"/>
    <col min="1239" max="1239" width="11.7109375" style="1" bestFit="1" customWidth="1"/>
    <col min="1240" max="1240" width="15.85546875" style="1" bestFit="1" customWidth="1"/>
    <col min="1241" max="1484" width="9.140625" style="1"/>
    <col min="1485" max="1485" width="12.7109375" style="1" bestFit="1" customWidth="1"/>
    <col min="1486" max="1486" width="13.85546875" style="1" bestFit="1" customWidth="1"/>
    <col min="1487" max="1487" width="17.85546875" style="1" bestFit="1" customWidth="1"/>
    <col min="1488" max="1488" width="19.7109375" style="1" bestFit="1" customWidth="1"/>
    <col min="1489" max="1489" width="17.7109375" style="1" bestFit="1" customWidth="1"/>
    <col min="1490" max="1490" width="0.7109375" style="1" customWidth="1"/>
    <col min="1491" max="1491" width="19.140625" style="1" bestFit="1" customWidth="1"/>
    <col min="1492" max="1492" width="17.7109375" style="1" bestFit="1" customWidth="1"/>
    <col min="1493" max="1493" width="29.85546875" style="1" bestFit="1" customWidth="1"/>
    <col min="1494" max="1494" width="6" style="1" bestFit="1" customWidth="1"/>
    <col min="1495" max="1495" width="11.7109375" style="1" bestFit="1" customWidth="1"/>
    <col min="1496" max="1496" width="15.85546875" style="1" bestFit="1" customWidth="1"/>
    <col min="1497" max="1740" width="9.140625" style="1"/>
    <col min="1741" max="1741" width="12.7109375" style="1" bestFit="1" customWidth="1"/>
    <col min="1742" max="1742" width="13.85546875" style="1" bestFit="1" customWidth="1"/>
    <col min="1743" max="1743" width="17.85546875" style="1" bestFit="1" customWidth="1"/>
    <col min="1744" max="1744" width="19.7109375" style="1" bestFit="1" customWidth="1"/>
    <col min="1745" max="1745" width="17.7109375" style="1" bestFit="1" customWidth="1"/>
    <col min="1746" max="1746" width="0.7109375" style="1" customWidth="1"/>
    <col min="1747" max="1747" width="19.140625" style="1" bestFit="1" customWidth="1"/>
    <col min="1748" max="1748" width="17.7109375" style="1" bestFit="1" customWidth="1"/>
    <col min="1749" max="1749" width="29.85546875" style="1" bestFit="1" customWidth="1"/>
    <col min="1750" max="1750" width="6" style="1" bestFit="1" customWidth="1"/>
    <col min="1751" max="1751" width="11.7109375" style="1" bestFit="1" customWidth="1"/>
    <col min="1752" max="1752" width="15.85546875" style="1" bestFit="1" customWidth="1"/>
    <col min="1753" max="1996" width="9.140625" style="1"/>
    <col min="1997" max="1997" width="12.7109375" style="1" bestFit="1" customWidth="1"/>
    <col min="1998" max="1998" width="13.85546875" style="1" bestFit="1" customWidth="1"/>
    <col min="1999" max="1999" width="17.85546875" style="1" bestFit="1" customWidth="1"/>
    <col min="2000" max="2000" width="19.7109375" style="1" bestFit="1" customWidth="1"/>
    <col min="2001" max="2001" width="17.7109375" style="1" bestFit="1" customWidth="1"/>
    <col min="2002" max="2002" width="0.7109375" style="1" customWidth="1"/>
    <col min="2003" max="2003" width="19.140625" style="1" bestFit="1" customWidth="1"/>
    <col min="2004" max="2004" width="17.7109375" style="1" bestFit="1" customWidth="1"/>
    <col min="2005" max="2005" width="29.85546875" style="1" bestFit="1" customWidth="1"/>
    <col min="2006" max="2006" width="6" style="1" bestFit="1" customWidth="1"/>
    <col min="2007" max="2007" width="11.7109375" style="1" bestFit="1" customWidth="1"/>
    <col min="2008" max="2008" width="15.85546875" style="1" bestFit="1" customWidth="1"/>
    <col min="2009" max="2252" width="9.140625" style="1"/>
    <col min="2253" max="2253" width="12.7109375" style="1" bestFit="1" customWidth="1"/>
    <col min="2254" max="2254" width="13.85546875" style="1" bestFit="1" customWidth="1"/>
    <col min="2255" max="2255" width="17.85546875" style="1" bestFit="1" customWidth="1"/>
    <col min="2256" max="2256" width="19.7109375" style="1" bestFit="1" customWidth="1"/>
    <col min="2257" max="2257" width="17.7109375" style="1" bestFit="1" customWidth="1"/>
    <col min="2258" max="2258" width="0.7109375" style="1" customWidth="1"/>
    <col min="2259" max="2259" width="19.140625" style="1" bestFit="1" customWidth="1"/>
    <col min="2260" max="2260" width="17.7109375" style="1" bestFit="1" customWidth="1"/>
    <col min="2261" max="2261" width="29.85546875" style="1" bestFit="1" customWidth="1"/>
    <col min="2262" max="2262" width="6" style="1" bestFit="1" customWidth="1"/>
    <col min="2263" max="2263" width="11.7109375" style="1" bestFit="1" customWidth="1"/>
    <col min="2264" max="2264" width="15.85546875" style="1" bestFit="1" customWidth="1"/>
    <col min="2265" max="2508" width="9.140625" style="1"/>
    <col min="2509" max="2509" width="12.7109375" style="1" bestFit="1" customWidth="1"/>
    <col min="2510" max="2510" width="13.85546875" style="1" bestFit="1" customWidth="1"/>
    <col min="2511" max="2511" width="17.85546875" style="1" bestFit="1" customWidth="1"/>
    <col min="2512" max="2512" width="19.7109375" style="1" bestFit="1" customWidth="1"/>
    <col min="2513" max="2513" width="17.7109375" style="1" bestFit="1" customWidth="1"/>
    <col min="2514" max="2514" width="0.7109375" style="1" customWidth="1"/>
    <col min="2515" max="2515" width="19.140625" style="1" bestFit="1" customWidth="1"/>
    <col min="2516" max="2516" width="17.7109375" style="1" bestFit="1" customWidth="1"/>
    <col min="2517" max="2517" width="29.85546875" style="1" bestFit="1" customWidth="1"/>
    <col min="2518" max="2518" width="6" style="1" bestFit="1" customWidth="1"/>
    <col min="2519" max="2519" width="11.7109375" style="1" bestFit="1" customWidth="1"/>
    <col min="2520" max="2520" width="15.85546875" style="1" bestFit="1" customWidth="1"/>
    <col min="2521" max="2764" width="9.140625" style="1"/>
    <col min="2765" max="2765" width="12.7109375" style="1" bestFit="1" customWidth="1"/>
    <col min="2766" max="2766" width="13.85546875" style="1" bestFit="1" customWidth="1"/>
    <col min="2767" max="2767" width="17.85546875" style="1" bestFit="1" customWidth="1"/>
    <col min="2768" max="2768" width="19.7109375" style="1" bestFit="1" customWidth="1"/>
    <col min="2769" max="2769" width="17.7109375" style="1" bestFit="1" customWidth="1"/>
    <col min="2770" max="2770" width="0.7109375" style="1" customWidth="1"/>
    <col min="2771" max="2771" width="19.140625" style="1" bestFit="1" customWidth="1"/>
    <col min="2772" max="2772" width="17.7109375" style="1" bestFit="1" customWidth="1"/>
    <col min="2773" max="2773" width="29.85546875" style="1" bestFit="1" customWidth="1"/>
    <col min="2774" max="2774" width="6" style="1" bestFit="1" customWidth="1"/>
    <col min="2775" max="2775" width="11.7109375" style="1" bestFit="1" customWidth="1"/>
    <col min="2776" max="2776" width="15.85546875" style="1" bestFit="1" customWidth="1"/>
    <col min="2777" max="3020" width="9.140625" style="1"/>
    <col min="3021" max="3021" width="12.7109375" style="1" bestFit="1" customWidth="1"/>
    <col min="3022" max="3022" width="13.85546875" style="1" bestFit="1" customWidth="1"/>
    <col min="3023" max="3023" width="17.85546875" style="1" bestFit="1" customWidth="1"/>
    <col min="3024" max="3024" width="19.7109375" style="1" bestFit="1" customWidth="1"/>
    <col min="3025" max="3025" width="17.7109375" style="1" bestFit="1" customWidth="1"/>
    <col min="3026" max="3026" width="0.7109375" style="1" customWidth="1"/>
    <col min="3027" max="3027" width="19.140625" style="1" bestFit="1" customWidth="1"/>
    <col min="3028" max="3028" width="17.7109375" style="1" bestFit="1" customWidth="1"/>
    <col min="3029" max="3029" width="29.85546875" style="1" bestFit="1" customWidth="1"/>
    <col min="3030" max="3030" width="6" style="1" bestFit="1" customWidth="1"/>
    <col min="3031" max="3031" width="11.7109375" style="1" bestFit="1" customWidth="1"/>
    <col min="3032" max="3032" width="15.85546875" style="1" bestFit="1" customWidth="1"/>
    <col min="3033" max="3276" width="9.140625" style="1"/>
    <col min="3277" max="3277" width="12.7109375" style="1" bestFit="1" customWidth="1"/>
    <col min="3278" max="3278" width="13.85546875" style="1" bestFit="1" customWidth="1"/>
    <col min="3279" max="3279" width="17.85546875" style="1" bestFit="1" customWidth="1"/>
    <col min="3280" max="3280" width="19.7109375" style="1" bestFit="1" customWidth="1"/>
    <col min="3281" max="3281" width="17.7109375" style="1" bestFit="1" customWidth="1"/>
    <col min="3282" max="3282" width="0.7109375" style="1" customWidth="1"/>
    <col min="3283" max="3283" width="19.140625" style="1" bestFit="1" customWidth="1"/>
    <col min="3284" max="3284" width="17.7109375" style="1" bestFit="1" customWidth="1"/>
    <col min="3285" max="3285" width="29.85546875" style="1" bestFit="1" customWidth="1"/>
    <col min="3286" max="3286" width="6" style="1" bestFit="1" customWidth="1"/>
    <col min="3287" max="3287" width="11.7109375" style="1" bestFit="1" customWidth="1"/>
    <col min="3288" max="3288" width="15.85546875" style="1" bestFit="1" customWidth="1"/>
    <col min="3289" max="3532" width="9.140625" style="1"/>
    <col min="3533" max="3533" width="12.7109375" style="1" bestFit="1" customWidth="1"/>
    <col min="3534" max="3534" width="13.85546875" style="1" bestFit="1" customWidth="1"/>
    <col min="3535" max="3535" width="17.85546875" style="1" bestFit="1" customWidth="1"/>
    <col min="3536" max="3536" width="19.7109375" style="1" bestFit="1" customWidth="1"/>
    <col min="3537" max="3537" width="17.7109375" style="1" bestFit="1" customWidth="1"/>
    <col min="3538" max="3538" width="0.7109375" style="1" customWidth="1"/>
    <col min="3539" max="3539" width="19.140625" style="1" bestFit="1" customWidth="1"/>
    <col min="3540" max="3540" width="17.7109375" style="1" bestFit="1" customWidth="1"/>
    <col min="3541" max="3541" width="29.85546875" style="1" bestFit="1" customWidth="1"/>
    <col min="3542" max="3542" width="6" style="1" bestFit="1" customWidth="1"/>
    <col min="3543" max="3543" width="11.7109375" style="1" bestFit="1" customWidth="1"/>
    <col min="3544" max="3544" width="15.85546875" style="1" bestFit="1" customWidth="1"/>
    <col min="3545" max="3788" width="9.140625" style="1"/>
    <col min="3789" max="3789" width="12.7109375" style="1" bestFit="1" customWidth="1"/>
    <col min="3790" max="3790" width="13.85546875" style="1" bestFit="1" customWidth="1"/>
    <col min="3791" max="3791" width="17.85546875" style="1" bestFit="1" customWidth="1"/>
    <col min="3792" max="3792" width="19.7109375" style="1" bestFit="1" customWidth="1"/>
    <col min="3793" max="3793" width="17.7109375" style="1" bestFit="1" customWidth="1"/>
    <col min="3794" max="3794" width="0.7109375" style="1" customWidth="1"/>
    <col min="3795" max="3795" width="19.140625" style="1" bestFit="1" customWidth="1"/>
    <col min="3796" max="3796" width="17.7109375" style="1" bestFit="1" customWidth="1"/>
    <col min="3797" max="3797" width="29.85546875" style="1" bestFit="1" customWidth="1"/>
    <col min="3798" max="3798" width="6" style="1" bestFit="1" customWidth="1"/>
    <col min="3799" max="3799" width="11.7109375" style="1" bestFit="1" customWidth="1"/>
    <col min="3800" max="3800" width="15.85546875" style="1" bestFit="1" customWidth="1"/>
    <col min="3801" max="4044" width="9.140625" style="1"/>
    <col min="4045" max="4045" width="12.7109375" style="1" bestFit="1" customWidth="1"/>
    <col min="4046" max="4046" width="13.85546875" style="1" bestFit="1" customWidth="1"/>
    <col min="4047" max="4047" width="17.85546875" style="1" bestFit="1" customWidth="1"/>
    <col min="4048" max="4048" width="19.7109375" style="1" bestFit="1" customWidth="1"/>
    <col min="4049" max="4049" width="17.7109375" style="1" bestFit="1" customWidth="1"/>
    <col min="4050" max="4050" width="0.7109375" style="1" customWidth="1"/>
    <col min="4051" max="4051" width="19.140625" style="1" bestFit="1" customWidth="1"/>
    <col min="4052" max="4052" width="17.7109375" style="1" bestFit="1" customWidth="1"/>
    <col min="4053" max="4053" width="29.85546875" style="1" bestFit="1" customWidth="1"/>
    <col min="4054" max="4054" width="6" style="1" bestFit="1" customWidth="1"/>
    <col min="4055" max="4055" width="11.7109375" style="1" bestFit="1" customWidth="1"/>
    <col min="4056" max="4056" width="15.85546875" style="1" bestFit="1" customWidth="1"/>
    <col min="4057" max="4300" width="9.140625" style="1"/>
    <col min="4301" max="4301" width="12.7109375" style="1" bestFit="1" customWidth="1"/>
    <col min="4302" max="4302" width="13.85546875" style="1" bestFit="1" customWidth="1"/>
    <col min="4303" max="4303" width="17.85546875" style="1" bestFit="1" customWidth="1"/>
    <col min="4304" max="4304" width="19.7109375" style="1" bestFit="1" customWidth="1"/>
    <col min="4305" max="4305" width="17.7109375" style="1" bestFit="1" customWidth="1"/>
    <col min="4306" max="4306" width="0.7109375" style="1" customWidth="1"/>
    <col min="4307" max="4307" width="19.140625" style="1" bestFit="1" customWidth="1"/>
    <col min="4308" max="4308" width="17.7109375" style="1" bestFit="1" customWidth="1"/>
    <col min="4309" max="4309" width="29.85546875" style="1" bestFit="1" customWidth="1"/>
    <col min="4310" max="4310" width="6" style="1" bestFit="1" customWidth="1"/>
    <col min="4311" max="4311" width="11.7109375" style="1" bestFit="1" customWidth="1"/>
    <col min="4312" max="4312" width="15.85546875" style="1" bestFit="1" customWidth="1"/>
    <col min="4313" max="4556" width="9.140625" style="1"/>
    <col min="4557" max="4557" width="12.7109375" style="1" bestFit="1" customWidth="1"/>
    <col min="4558" max="4558" width="13.85546875" style="1" bestFit="1" customWidth="1"/>
    <col min="4559" max="4559" width="17.85546875" style="1" bestFit="1" customWidth="1"/>
    <col min="4560" max="4560" width="19.7109375" style="1" bestFit="1" customWidth="1"/>
    <col min="4561" max="4561" width="17.7109375" style="1" bestFit="1" customWidth="1"/>
    <col min="4562" max="4562" width="0.7109375" style="1" customWidth="1"/>
    <col min="4563" max="4563" width="19.140625" style="1" bestFit="1" customWidth="1"/>
    <col min="4564" max="4564" width="17.7109375" style="1" bestFit="1" customWidth="1"/>
    <col min="4565" max="4565" width="29.85546875" style="1" bestFit="1" customWidth="1"/>
    <col min="4566" max="4566" width="6" style="1" bestFit="1" customWidth="1"/>
    <col min="4567" max="4567" width="11.7109375" style="1" bestFit="1" customWidth="1"/>
    <col min="4568" max="4568" width="15.85546875" style="1" bestFit="1" customWidth="1"/>
    <col min="4569" max="4812" width="9.140625" style="1"/>
    <col min="4813" max="4813" width="12.7109375" style="1" bestFit="1" customWidth="1"/>
    <col min="4814" max="4814" width="13.85546875" style="1" bestFit="1" customWidth="1"/>
    <col min="4815" max="4815" width="17.85546875" style="1" bestFit="1" customWidth="1"/>
    <col min="4816" max="4816" width="19.7109375" style="1" bestFit="1" customWidth="1"/>
    <col min="4817" max="4817" width="17.7109375" style="1" bestFit="1" customWidth="1"/>
    <col min="4818" max="4818" width="0.7109375" style="1" customWidth="1"/>
    <col min="4819" max="4819" width="19.140625" style="1" bestFit="1" customWidth="1"/>
    <col min="4820" max="4820" width="17.7109375" style="1" bestFit="1" customWidth="1"/>
    <col min="4821" max="4821" width="29.85546875" style="1" bestFit="1" customWidth="1"/>
    <col min="4822" max="4822" width="6" style="1" bestFit="1" customWidth="1"/>
    <col min="4823" max="4823" width="11.7109375" style="1" bestFit="1" customWidth="1"/>
    <col min="4824" max="4824" width="15.85546875" style="1" bestFit="1" customWidth="1"/>
    <col min="4825" max="5068" width="9.140625" style="1"/>
    <col min="5069" max="5069" width="12.7109375" style="1" bestFit="1" customWidth="1"/>
    <col min="5070" max="5070" width="13.85546875" style="1" bestFit="1" customWidth="1"/>
    <col min="5071" max="5071" width="17.85546875" style="1" bestFit="1" customWidth="1"/>
    <col min="5072" max="5072" width="19.7109375" style="1" bestFit="1" customWidth="1"/>
    <col min="5073" max="5073" width="17.7109375" style="1" bestFit="1" customWidth="1"/>
    <col min="5074" max="5074" width="0.7109375" style="1" customWidth="1"/>
    <col min="5075" max="5075" width="19.140625" style="1" bestFit="1" customWidth="1"/>
    <col min="5076" max="5076" width="17.7109375" style="1" bestFit="1" customWidth="1"/>
    <col min="5077" max="5077" width="29.85546875" style="1" bestFit="1" customWidth="1"/>
    <col min="5078" max="5078" width="6" style="1" bestFit="1" customWidth="1"/>
    <col min="5079" max="5079" width="11.7109375" style="1" bestFit="1" customWidth="1"/>
    <col min="5080" max="5080" width="15.85546875" style="1" bestFit="1" customWidth="1"/>
    <col min="5081" max="5324" width="9.140625" style="1"/>
    <col min="5325" max="5325" width="12.7109375" style="1" bestFit="1" customWidth="1"/>
    <col min="5326" max="5326" width="13.85546875" style="1" bestFit="1" customWidth="1"/>
    <col min="5327" max="5327" width="17.85546875" style="1" bestFit="1" customWidth="1"/>
    <col min="5328" max="5328" width="19.7109375" style="1" bestFit="1" customWidth="1"/>
    <col min="5329" max="5329" width="17.7109375" style="1" bestFit="1" customWidth="1"/>
    <col min="5330" max="5330" width="0.7109375" style="1" customWidth="1"/>
    <col min="5331" max="5331" width="19.140625" style="1" bestFit="1" customWidth="1"/>
    <col min="5332" max="5332" width="17.7109375" style="1" bestFit="1" customWidth="1"/>
    <col min="5333" max="5333" width="29.85546875" style="1" bestFit="1" customWidth="1"/>
    <col min="5334" max="5334" width="6" style="1" bestFit="1" customWidth="1"/>
    <col min="5335" max="5335" width="11.7109375" style="1" bestFit="1" customWidth="1"/>
    <col min="5336" max="5336" width="15.85546875" style="1" bestFit="1" customWidth="1"/>
    <col min="5337" max="5580" width="9.140625" style="1"/>
    <col min="5581" max="5581" width="12.7109375" style="1" bestFit="1" customWidth="1"/>
    <col min="5582" max="5582" width="13.85546875" style="1" bestFit="1" customWidth="1"/>
    <col min="5583" max="5583" width="17.85546875" style="1" bestFit="1" customWidth="1"/>
    <col min="5584" max="5584" width="19.7109375" style="1" bestFit="1" customWidth="1"/>
    <col min="5585" max="5585" width="17.7109375" style="1" bestFit="1" customWidth="1"/>
    <col min="5586" max="5586" width="0.7109375" style="1" customWidth="1"/>
    <col min="5587" max="5587" width="19.140625" style="1" bestFit="1" customWidth="1"/>
    <col min="5588" max="5588" width="17.7109375" style="1" bestFit="1" customWidth="1"/>
    <col min="5589" max="5589" width="29.85546875" style="1" bestFit="1" customWidth="1"/>
    <col min="5590" max="5590" width="6" style="1" bestFit="1" customWidth="1"/>
    <col min="5591" max="5591" width="11.7109375" style="1" bestFit="1" customWidth="1"/>
    <col min="5592" max="5592" width="15.85546875" style="1" bestFit="1" customWidth="1"/>
    <col min="5593" max="5836" width="9.140625" style="1"/>
    <col min="5837" max="5837" width="12.7109375" style="1" bestFit="1" customWidth="1"/>
    <col min="5838" max="5838" width="13.85546875" style="1" bestFit="1" customWidth="1"/>
    <col min="5839" max="5839" width="17.85546875" style="1" bestFit="1" customWidth="1"/>
    <col min="5840" max="5840" width="19.7109375" style="1" bestFit="1" customWidth="1"/>
    <col min="5841" max="5841" width="17.7109375" style="1" bestFit="1" customWidth="1"/>
    <col min="5842" max="5842" width="0.7109375" style="1" customWidth="1"/>
    <col min="5843" max="5843" width="19.140625" style="1" bestFit="1" customWidth="1"/>
    <col min="5844" max="5844" width="17.7109375" style="1" bestFit="1" customWidth="1"/>
    <col min="5845" max="5845" width="29.85546875" style="1" bestFit="1" customWidth="1"/>
    <col min="5846" max="5846" width="6" style="1" bestFit="1" customWidth="1"/>
    <col min="5847" max="5847" width="11.7109375" style="1" bestFit="1" customWidth="1"/>
    <col min="5848" max="5848" width="15.85546875" style="1" bestFit="1" customWidth="1"/>
    <col min="5849" max="6092" width="9.140625" style="1"/>
    <col min="6093" max="6093" width="12.7109375" style="1" bestFit="1" customWidth="1"/>
    <col min="6094" max="6094" width="13.85546875" style="1" bestFit="1" customWidth="1"/>
    <col min="6095" max="6095" width="17.85546875" style="1" bestFit="1" customWidth="1"/>
    <col min="6096" max="6096" width="19.7109375" style="1" bestFit="1" customWidth="1"/>
    <col min="6097" max="6097" width="17.7109375" style="1" bestFit="1" customWidth="1"/>
    <col min="6098" max="6098" width="0.7109375" style="1" customWidth="1"/>
    <col min="6099" max="6099" width="19.140625" style="1" bestFit="1" customWidth="1"/>
    <col min="6100" max="6100" width="17.7109375" style="1" bestFit="1" customWidth="1"/>
    <col min="6101" max="6101" width="29.85546875" style="1" bestFit="1" customWidth="1"/>
    <col min="6102" max="6102" width="6" style="1" bestFit="1" customWidth="1"/>
    <col min="6103" max="6103" width="11.7109375" style="1" bestFit="1" customWidth="1"/>
    <col min="6104" max="6104" width="15.85546875" style="1" bestFit="1" customWidth="1"/>
    <col min="6105" max="6348" width="9.140625" style="1"/>
    <col min="6349" max="6349" width="12.7109375" style="1" bestFit="1" customWidth="1"/>
    <col min="6350" max="6350" width="13.85546875" style="1" bestFit="1" customWidth="1"/>
    <col min="6351" max="6351" width="17.85546875" style="1" bestFit="1" customWidth="1"/>
    <col min="6352" max="6352" width="19.7109375" style="1" bestFit="1" customWidth="1"/>
    <col min="6353" max="6353" width="17.7109375" style="1" bestFit="1" customWidth="1"/>
    <col min="6354" max="6354" width="0.7109375" style="1" customWidth="1"/>
    <col min="6355" max="6355" width="19.140625" style="1" bestFit="1" customWidth="1"/>
    <col min="6356" max="6356" width="17.7109375" style="1" bestFit="1" customWidth="1"/>
    <col min="6357" max="6357" width="29.85546875" style="1" bestFit="1" customWidth="1"/>
    <col min="6358" max="6358" width="6" style="1" bestFit="1" customWidth="1"/>
    <col min="6359" max="6359" width="11.7109375" style="1" bestFit="1" customWidth="1"/>
    <col min="6360" max="6360" width="15.85546875" style="1" bestFit="1" customWidth="1"/>
    <col min="6361" max="6604" width="9.140625" style="1"/>
    <col min="6605" max="6605" width="12.7109375" style="1" bestFit="1" customWidth="1"/>
    <col min="6606" max="6606" width="13.85546875" style="1" bestFit="1" customWidth="1"/>
    <col min="6607" max="6607" width="17.85546875" style="1" bestFit="1" customWidth="1"/>
    <col min="6608" max="6608" width="19.7109375" style="1" bestFit="1" customWidth="1"/>
    <col min="6609" max="6609" width="17.7109375" style="1" bestFit="1" customWidth="1"/>
    <col min="6610" max="6610" width="0.7109375" style="1" customWidth="1"/>
    <col min="6611" max="6611" width="19.140625" style="1" bestFit="1" customWidth="1"/>
    <col min="6612" max="6612" width="17.7109375" style="1" bestFit="1" customWidth="1"/>
    <col min="6613" max="6613" width="29.85546875" style="1" bestFit="1" customWidth="1"/>
    <col min="6614" max="6614" width="6" style="1" bestFit="1" customWidth="1"/>
    <col min="6615" max="6615" width="11.7109375" style="1" bestFit="1" customWidth="1"/>
    <col min="6616" max="6616" width="15.85546875" style="1" bestFit="1" customWidth="1"/>
    <col min="6617" max="6860" width="9.140625" style="1"/>
    <col min="6861" max="6861" width="12.7109375" style="1" bestFit="1" customWidth="1"/>
    <col min="6862" max="6862" width="13.85546875" style="1" bestFit="1" customWidth="1"/>
    <col min="6863" max="6863" width="17.85546875" style="1" bestFit="1" customWidth="1"/>
    <col min="6864" max="6864" width="19.7109375" style="1" bestFit="1" customWidth="1"/>
    <col min="6865" max="6865" width="17.7109375" style="1" bestFit="1" customWidth="1"/>
    <col min="6866" max="6866" width="0.7109375" style="1" customWidth="1"/>
    <col min="6867" max="6867" width="19.140625" style="1" bestFit="1" customWidth="1"/>
    <col min="6868" max="6868" width="17.7109375" style="1" bestFit="1" customWidth="1"/>
    <col min="6869" max="6869" width="29.85546875" style="1" bestFit="1" customWidth="1"/>
    <col min="6870" max="6870" width="6" style="1" bestFit="1" customWidth="1"/>
    <col min="6871" max="6871" width="11.7109375" style="1" bestFit="1" customWidth="1"/>
    <col min="6872" max="6872" width="15.85546875" style="1" bestFit="1" customWidth="1"/>
    <col min="6873" max="7116" width="9.140625" style="1"/>
    <col min="7117" max="7117" width="12.7109375" style="1" bestFit="1" customWidth="1"/>
    <col min="7118" max="7118" width="13.85546875" style="1" bestFit="1" customWidth="1"/>
    <col min="7119" max="7119" width="17.85546875" style="1" bestFit="1" customWidth="1"/>
    <col min="7120" max="7120" width="19.7109375" style="1" bestFit="1" customWidth="1"/>
    <col min="7121" max="7121" width="17.7109375" style="1" bestFit="1" customWidth="1"/>
    <col min="7122" max="7122" width="0.7109375" style="1" customWidth="1"/>
    <col min="7123" max="7123" width="19.140625" style="1" bestFit="1" customWidth="1"/>
    <col min="7124" max="7124" width="17.7109375" style="1" bestFit="1" customWidth="1"/>
    <col min="7125" max="7125" width="29.85546875" style="1" bestFit="1" customWidth="1"/>
    <col min="7126" max="7126" width="6" style="1" bestFit="1" customWidth="1"/>
    <col min="7127" max="7127" width="11.7109375" style="1" bestFit="1" customWidth="1"/>
    <col min="7128" max="7128" width="15.85546875" style="1" bestFit="1" customWidth="1"/>
    <col min="7129" max="7372" width="9.140625" style="1"/>
    <col min="7373" max="7373" width="12.7109375" style="1" bestFit="1" customWidth="1"/>
    <col min="7374" max="7374" width="13.85546875" style="1" bestFit="1" customWidth="1"/>
    <col min="7375" max="7375" width="17.85546875" style="1" bestFit="1" customWidth="1"/>
    <col min="7376" max="7376" width="19.7109375" style="1" bestFit="1" customWidth="1"/>
    <col min="7377" max="7377" width="17.7109375" style="1" bestFit="1" customWidth="1"/>
    <col min="7378" max="7378" width="0.7109375" style="1" customWidth="1"/>
    <col min="7379" max="7379" width="19.140625" style="1" bestFit="1" customWidth="1"/>
    <col min="7380" max="7380" width="17.7109375" style="1" bestFit="1" customWidth="1"/>
    <col min="7381" max="7381" width="29.85546875" style="1" bestFit="1" customWidth="1"/>
    <col min="7382" max="7382" width="6" style="1" bestFit="1" customWidth="1"/>
    <col min="7383" max="7383" width="11.7109375" style="1" bestFit="1" customWidth="1"/>
    <col min="7384" max="7384" width="15.85546875" style="1" bestFit="1" customWidth="1"/>
    <col min="7385" max="7628" width="9.140625" style="1"/>
    <col min="7629" max="7629" width="12.7109375" style="1" bestFit="1" customWidth="1"/>
    <col min="7630" max="7630" width="13.85546875" style="1" bestFit="1" customWidth="1"/>
    <col min="7631" max="7631" width="17.85546875" style="1" bestFit="1" customWidth="1"/>
    <col min="7632" max="7632" width="19.7109375" style="1" bestFit="1" customWidth="1"/>
    <col min="7633" max="7633" width="17.7109375" style="1" bestFit="1" customWidth="1"/>
    <col min="7634" max="7634" width="0.7109375" style="1" customWidth="1"/>
    <col min="7635" max="7635" width="19.140625" style="1" bestFit="1" customWidth="1"/>
    <col min="7636" max="7636" width="17.7109375" style="1" bestFit="1" customWidth="1"/>
    <col min="7637" max="7637" width="29.85546875" style="1" bestFit="1" customWidth="1"/>
    <col min="7638" max="7638" width="6" style="1" bestFit="1" customWidth="1"/>
    <col min="7639" max="7639" width="11.7109375" style="1" bestFit="1" customWidth="1"/>
    <col min="7640" max="7640" width="15.85546875" style="1" bestFit="1" customWidth="1"/>
    <col min="7641" max="7884" width="9.140625" style="1"/>
    <col min="7885" max="7885" width="12.7109375" style="1" bestFit="1" customWidth="1"/>
    <col min="7886" max="7886" width="13.85546875" style="1" bestFit="1" customWidth="1"/>
    <col min="7887" max="7887" width="17.85546875" style="1" bestFit="1" customWidth="1"/>
    <col min="7888" max="7888" width="19.7109375" style="1" bestFit="1" customWidth="1"/>
    <col min="7889" max="7889" width="17.7109375" style="1" bestFit="1" customWidth="1"/>
    <col min="7890" max="7890" width="0.7109375" style="1" customWidth="1"/>
    <col min="7891" max="7891" width="19.140625" style="1" bestFit="1" customWidth="1"/>
    <col min="7892" max="7892" width="17.7109375" style="1" bestFit="1" customWidth="1"/>
    <col min="7893" max="7893" width="29.85546875" style="1" bestFit="1" customWidth="1"/>
    <col min="7894" max="7894" width="6" style="1" bestFit="1" customWidth="1"/>
    <col min="7895" max="7895" width="11.7109375" style="1" bestFit="1" customWidth="1"/>
    <col min="7896" max="7896" width="15.85546875" style="1" bestFit="1" customWidth="1"/>
    <col min="7897" max="8140" width="9.140625" style="1"/>
    <col min="8141" max="8141" width="12.7109375" style="1" bestFit="1" customWidth="1"/>
    <col min="8142" max="8142" width="13.85546875" style="1" bestFit="1" customWidth="1"/>
    <col min="8143" max="8143" width="17.85546875" style="1" bestFit="1" customWidth="1"/>
    <col min="8144" max="8144" width="19.7109375" style="1" bestFit="1" customWidth="1"/>
    <col min="8145" max="8145" width="17.7109375" style="1" bestFit="1" customWidth="1"/>
    <col min="8146" max="8146" width="0.7109375" style="1" customWidth="1"/>
    <col min="8147" max="8147" width="19.140625" style="1" bestFit="1" customWidth="1"/>
    <col min="8148" max="8148" width="17.7109375" style="1" bestFit="1" customWidth="1"/>
    <col min="8149" max="8149" width="29.85546875" style="1" bestFit="1" customWidth="1"/>
    <col min="8150" max="8150" width="6" style="1" bestFit="1" customWidth="1"/>
    <col min="8151" max="8151" width="11.7109375" style="1" bestFit="1" customWidth="1"/>
    <col min="8152" max="8152" width="15.85546875" style="1" bestFit="1" customWidth="1"/>
    <col min="8153" max="8396" width="9.140625" style="1"/>
    <col min="8397" max="8397" width="12.7109375" style="1" bestFit="1" customWidth="1"/>
    <col min="8398" max="8398" width="13.85546875" style="1" bestFit="1" customWidth="1"/>
    <col min="8399" max="8399" width="17.85546875" style="1" bestFit="1" customWidth="1"/>
    <col min="8400" max="8400" width="19.7109375" style="1" bestFit="1" customWidth="1"/>
    <col min="8401" max="8401" width="17.7109375" style="1" bestFit="1" customWidth="1"/>
    <col min="8402" max="8402" width="0.7109375" style="1" customWidth="1"/>
    <col min="8403" max="8403" width="19.140625" style="1" bestFit="1" customWidth="1"/>
    <col min="8404" max="8404" width="17.7109375" style="1" bestFit="1" customWidth="1"/>
    <col min="8405" max="8405" width="29.85546875" style="1" bestFit="1" customWidth="1"/>
    <col min="8406" max="8406" width="6" style="1" bestFit="1" customWidth="1"/>
    <col min="8407" max="8407" width="11.7109375" style="1" bestFit="1" customWidth="1"/>
    <col min="8408" max="8408" width="15.85546875" style="1" bestFit="1" customWidth="1"/>
    <col min="8409" max="8652" width="9.140625" style="1"/>
    <col min="8653" max="8653" width="12.7109375" style="1" bestFit="1" customWidth="1"/>
    <col min="8654" max="8654" width="13.85546875" style="1" bestFit="1" customWidth="1"/>
    <col min="8655" max="8655" width="17.85546875" style="1" bestFit="1" customWidth="1"/>
    <col min="8656" max="8656" width="19.7109375" style="1" bestFit="1" customWidth="1"/>
    <col min="8657" max="8657" width="17.7109375" style="1" bestFit="1" customWidth="1"/>
    <col min="8658" max="8658" width="0.7109375" style="1" customWidth="1"/>
    <col min="8659" max="8659" width="19.140625" style="1" bestFit="1" customWidth="1"/>
    <col min="8660" max="8660" width="17.7109375" style="1" bestFit="1" customWidth="1"/>
    <col min="8661" max="8661" width="29.85546875" style="1" bestFit="1" customWidth="1"/>
    <col min="8662" max="8662" width="6" style="1" bestFit="1" customWidth="1"/>
    <col min="8663" max="8663" width="11.7109375" style="1" bestFit="1" customWidth="1"/>
    <col min="8664" max="8664" width="15.85546875" style="1" bestFit="1" customWidth="1"/>
    <col min="8665" max="8908" width="9.140625" style="1"/>
    <col min="8909" max="8909" width="12.7109375" style="1" bestFit="1" customWidth="1"/>
    <col min="8910" max="8910" width="13.85546875" style="1" bestFit="1" customWidth="1"/>
    <col min="8911" max="8911" width="17.85546875" style="1" bestFit="1" customWidth="1"/>
    <col min="8912" max="8912" width="19.7109375" style="1" bestFit="1" customWidth="1"/>
    <col min="8913" max="8913" width="17.7109375" style="1" bestFit="1" customWidth="1"/>
    <col min="8914" max="8914" width="0.7109375" style="1" customWidth="1"/>
    <col min="8915" max="8915" width="19.140625" style="1" bestFit="1" customWidth="1"/>
    <col min="8916" max="8916" width="17.7109375" style="1" bestFit="1" customWidth="1"/>
    <col min="8917" max="8917" width="29.85546875" style="1" bestFit="1" customWidth="1"/>
    <col min="8918" max="8918" width="6" style="1" bestFit="1" customWidth="1"/>
    <col min="8919" max="8919" width="11.7109375" style="1" bestFit="1" customWidth="1"/>
    <col min="8920" max="8920" width="15.85546875" style="1" bestFit="1" customWidth="1"/>
    <col min="8921" max="9164" width="9.140625" style="1"/>
    <col min="9165" max="9165" width="12.7109375" style="1" bestFit="1" customWidth="1"/>
    <col min="9166" max="9166" width="13.85546875" style="1" bestFit="1" customWidth="1"/>
    <col min="9167" max="9167" width="17.85546875" style="1" bestFit="1" customWidth="1"/>
    <col min="9168" max="9168" width="19.7109375" style="1" bestFit="1" customWidth="1"/>
    <col min="9169" max="9169" width="17.7109375" style="1" bestFit="1" customWidth="1"/>
    <col min="9170" max="9170" width="0.7109375" style="1" customWidth="1"/>
    <col min="9171" max="9171" width="19.140625" style="1" bestFit="1" customWidth="1"/>
    <col min="9172" max="9172" width="17.7109375" style="1" bestFit="1" customWidth="1"/>
    <col min="9173" max="9173" width="29.85546875" style="1" bestFit="1" customWidth="1"/>
    <col min="9174" max="9174" width="6" style="1" bestFit="1" customWidth="1"/>
    <col min="9175" max="9175" width="11.7109375" style="1" bestFit="1" customWidth="1"/>
    <col min="9176" max="9176" width="15.85546875" style="1" bestFit="1" customWidth="1"/>
    <col min="9177" max="9420" width="9.140625" style="1"/>
    <col min="9421" max="9421" width="12.7109375" style="1" bestFit="1" customWidth="1"/>
    <col min="9422" max="9422" width="13.85546875" style="1" bestFit="1" customWidth="1"/>
    <col min="9423" max="9423" width="17.85546875" style="1" bestFit="1" customWidth="1"/>
    <col min="9424" max="9424" width="19.7109375" style="1" bestFit="1" customWidth="1"/>
    <col min="9425" max="9425" width="17.7109375" style="1" bestFit="1" customWidth="1"/>
    <col min="9426" max="9426" width="0.7109375" style="1" customWidth="1"/>
    <col min="9427" max="9427" width="19.140625" style="1" bestFit="1" customWidth="1"/>
    <col min="9428" max="9428" width="17.7109375" style="1" bestFit="1" customWidth="1"/>
    <col min="9429" max="9429" width="29.85546875" style="1" bestFit="1" customWidth="1"/>
    <col min="9430" max="9430" width="6" style="1" bestFit="1" customWidth="1"/>
    <col min="9431" max="9431" width="11.7109375" style="1" bestFit="1" customWidth="1"/>
    <col min="9432" max="9432" width="15.85546875" style="1" bestFit="1" customWidth="1"/>
    <col min="9433" max="9676" width="9.140625" style="1"/>
    <col min="9677" max="9677" width="12.7109375" style="1" bestFit="1" customWidth="1"/>
    <col min="9678" max="9678" width="13.85546875" style="1" bestFit="1" customWidth="1"/>
    <col min="9679" max="9679" width="17.85546875" style="1" bestFit="1" customWidth="1"/>
    <col min="9680" max="9680" width="19.7109375" style="1" bestFit="1" customWidth="1"/>
    <col min="9681" max="9681" width="17.7109375" style="1" bestFit="1" customWidth="1"/>
    <col min="9682" max="9682" width="0.7109375" style="1" customWidth="1"/>
    <col min="9683" max="9683" width="19.140625" style="1" bestFit="1" customWidth="1"/>
    <col min="9684" max="9684" width="17.7109375" style="1" bestFit="1" customWidth="1"/>
    <col min="9685" max="9685" width="29.85546875" style="1" bestFit="1" customWidth="1"/>
    <col min="9686" max="9686" width="6" style="1" bestFit="1" customWidth="1"/>
    <col min="9687" max="9687" width="11.7109375" style="1" bestFit="1" customWidth="1"/>
    <col min="9688" max="9688" width="15.85546875" style="1" bestFit="1" customWidth="1"/>
    <col min="9689" max="9932" width="9.140625" style="1"/>
    <col min="9933" max="9933" width="12.7109375" style="1" bestFit="1" customWidth="1"/>
    <col min="9934" max="9934" width="13.85546875" style="1" bestFit="1" customWidth="1"/>
    <col min="9935" max="9935" width="17.85546875" style="1" bestFit="1" customWidth="1"/>
    <col min="9936" max="9936" width="19.7109375" style="1" bestFit="1" customWidth="1"/>
    <col min="9937" max="9937" width="17.7109375" style="1" bestFit="1" customWidth="1"/>
    <col min="9938" max="9938" width="0.7109375" style="1" customWidth="1"/>
    <col min="9939" max="9939" width="19.140625" style="1" bestFit="1" customWidth="1"/>
    <col min="9940" max="9940" width="17.7109375" style="1" bestFit="1" customWidth="1"/>
    <col min="9941" max="9941" width="29.85546875" style="1" bestFit="1" customWidth="1"/>
    <col min="9942" max="9942" width="6" style="1" bestFit="1" customWidth="1"/>
    <col min="9943" max="9943" width="11.7109375" style="1" bestFit="1" customWidth="1"/>
    <col min="9944" max="9944" width="15.85546875" style="1" bestFit="1" customWidth="1"/>
    <col min="9945" max="10188" width="9.140625" style="1"/>
    <col min="10189" max="10189" width="12.7109375" style="1" bestFit="1" customWidth="1"/>
    <col min="10190" max="10190" width="13.85546875" style="1" bestFit="1" customWidth="1"/>
    <col min="10191" max="10191" width="17.85546875" style="1" bestFit="1" customWidth="1"/>
    <col min="10192" max="10192" width="19.7109375" style="1" bestFit="1" customWidth="1"/>
    <col min="10193" max="10193" width="17.7109375" style="1" bestFit="1" customWidth="1"/>
    <col min="10194" max="10194" width="0.7109375" style="1" customWidth="1"/>
    <col min="10195" max="10195" width="19.140625" style="1" bestFit="1" customWidth="1"/>
    <col min="10196" max="10196" width="17.7109375" style="1" bestFit="1" customWidth="1"/>
    <col min="10197" max="10197" width="29.85546875" style="1" bestFit="1" customWidth="1"/>
    <col min="10198" max="10198" width="6" style="1" bestFit="1" customWidth="1"/>
    <col min="10199" max="10199" width="11.7109375" style="1" bestFit="1" customWidth="1"/>
    <col min="10200" max="10200" width="15.85546875" style="1" bestFit="1" customWidth="1"/>
    <col min="10201" max="10444" width="9.140625" style="1"/>
    <col min="10445" max="10445" width="12.7109375" style="1" bestFit="1" customWidth="1"/>
    <col min="10446" max="10446" width="13.85546875" style="1" bestFit="1" customWidth="1"/>
    <col min="10447" max="10447" width="17.85546875" style="1" bestFit="1" customWidth="1"/>
    <col min="10448" max="10448" width="19.7109375" style="1" bestFit="1" customWidth="1"/>
    <col min="10449" max="10449" width="17.7109375" style="1" bestFit="1" customWidth="1"/>
    <col min="10450" max="10450" width="0.7109375" style="1" customWidth="1"/>
    <col min="10451" max="10451" width="19.140625" style="1" bestFit="1" customWidth="1"/>
    <col min="10452" max="10452" width="17.7109375" style="1" bestFit="1" customWidth="1"/>
    <col min="10453" max="10453" width="29.85546875" style="1" bestFit="1" customWidth="1"/>
    <col min="10454" max="10454" width="6" style="1" bestFit="1" customWidth="1"/>
    <col min="10455" max="10455" width="11.7109375" style="1" bestFit="1" customWidth="1"/>
    <col min="10456" max="10456" width="15.85546875" style="1" bestFit="1" customWidth="1"/>
    <col min="10457" max="10700" width="9.140625" style="1"/>
    <col min="10701" max="10701" width="12.7109375" style="1" bestFit="1" customWidth="1"/>
    <col min="10702" max="10702" width="13.85546875" style="1" bestFit="1" customWidth="1"/>
    <col min="10703" max="10703" width="17.85546875" style="1" bestFit="1" customWidth="1"/>
    <col min="10704" max="10704" width="19.7109375" style="1" bestFit="1" customWidth="1"/>
    <col min="10705" max="10705" width="17.7109375" style="1" bestFit="1" customWidth="1"/>
    <col min="10706" max="10706" width="0.7109375" style="1" customWidth="1"/>
    <col min="10707" max="10707" width="19.140625" style="1" bestFit="1" customWidth="1"/>
    <col min="10708" max="10708" width="17.7109375" style="1" bestFit="1" customWidth="1"/>
    <col min="10709" max="10709" width="29.85546875" style="1" bestFit="1" customWidth="1"/>
    <col min="10710" max="10710" width="6" style="1" bestFit="1" customWidth="1"/>
    <col min="10711" max="10711" width="11.7109375" style="1" bestFit="1" customWidth="1"/>
    <col min="10712" max="10712" width="15.85546875" style="1" bestFit="1" customWidth="1"/>
    <col min="10713" max="10956" width="9.140625" style="1"/>
    <col min="10957" max="10957" width="12.7109375" style="1" bestFit="1" customWidth="1"/>
    <col min="10958" max="10958" width="13.85546875" style="1" bestFit="1" customWidth="1"/>
    <col min="10959" max="10959" width="17.85546875" style="1" bestFit="1" customWidth="1"/>
    <col min="10960" max="10960" width="19.7109375" style="1" bestFit="1" customWidth="1"/>
    <col min="10961" max="10961" width="17.7109375" style="1" bestFit="1" customWidth="1"/>
    <col min="10962" max="10962" width="0.7109375" style="1" customWidth="1"/>
    <col min="10963" max="10963" width="19.140625" style="1" bestFit="1" customWidth="1"/>
    <col min="10964" max="10964" width="17.7109375" style="1" bestFit="1" customWidth="1"/>
    <col min="10965" max="10965" width="29.85546875" style="1" bestFit="1" customWidth="1"/>
    <col min="10966" max="10966" width="6" style="1" bestFit="1" customWidth="1"/>
    <col min="10967" max="10967" width="11.7109375" style="1" bestFit="1" customWidth="1"/>
    <col min="10968" max="10968" width="15.85546875" style="1" bestFit="1" customWidth="1"/>
    <col min="10969" max="11212" width="9.140625" style="1"/>
    <col min="11213" max="11213" width="12.7109375" style="1" bestFit="1" customWidth="1"/>
    <col min="11214" max="11214" width="13.85546875" style="1" bestFit="1" customWidth="1"/>
    <col min="11215" max="11215" width="17.85546875" style="1" bestFit="1" customWidth="1"/>
    <col min="11216" max="11216" width="19.7109375" style="1" bestFit="1" customWidth="1"/>
    <col min="11217" max="11217" width="17.7109375" style="1" bestFit="1" customWidth="1"/>
    <col min="11218" max="11218" width="0.7109375" style="1" customWidth="1"/>
    <col min="11219" max="11219" width="19.140625" style="1" bestFit="1" customWidth="1"/>
    <col min="11220" max="11220" width="17.7109375" style="1" bestFit="1" customWidth="1"/>
    <col min="11221" max="11221" width="29.85546875" style="1" bestFit="1" customWidth="1"/>
    <col min="11222" max="11222" width="6" style="1" bestFit="1" customWidth="1"/>
    <col min="11223" max="11223" width="11.7109375" style="1" bestFit="1" customWidth="1"/>
    <col min="11224" max="11224" width="15.85546875" style="1" bestFit="1" customWidth="1"/>
    <col min="11225" max="11468" width="9.140625" style="1"/>
    <col min="11469" max="11469" width="12.7109375" style="1" bestFit="1" customWidth="1"/>
    <col min="11470" max="11470" width="13.85546875" style="1" bestFit="1" customWidth="1"/>
    <col min="11471" max="11471" width="17.85546875" style="1" bestFit="1" customWidth="1"/>
    <col min="11472" max="11472" width="19.7109375" style="1" bestFit="1" customWidth="1"/>
    <col min="11473" max="11473" width="17.7109375" style="1" bestFit="1" customWidth="1"/>
    <col min="11474" max="11474" width="0.7109375" style="1" customWidth="1"/>
    <col min="11475" max="11475" width="19.140625" style="1" bestFit="1" customWidth="1"/>
    <col min="11476" max="11476" width="17.7109375" style="1" bestFit="1" customWidth="1"/>
    <col min="11477" max="11477" width="29.85546875" style="1" bestFit="1" customWidth="1"/>
    <col min="11478" max="11478" width="6" style="1" bestFit="1" customWidth="1"/>
    <col min="11479" max="11479" width="11.7109375" style="1" bestFit="1" customWidth="1"/>
    <col min="11480" max="11480" width="15.85546875" style="1" bestFit="1" customWidth="1"/>
    <col min="11481" max="11724" width="9.140625" style="1"/>
    <col min="11725" max="11725" width="12.7109375" style="1" bestFit="1" customWidth="1"/>
    <col min="11726" max="11726" width="13.85546875" style="1" bestFit="1" customWidth="1"/>
    <col min="11727" max="11727" width="17.85546875" style="1" bestFit="1" customWidth="1"/>
    <col min="11728" max="11728" width="19.7109375" style="1" bestFit="1" customWidth="1"/>
    <col min="11729" max="11729" width="17.7109375" style="1" bestFit="1" customWidth="1"/>
    <col min="11730" max="11730" width="0.7109375" style="1" customWidth="1"/>
    <col min="11731" max="11731" width="19.140625" style="1" bestFit="1" customWidth="1"/>
    <col min="11732" max="11732" width="17.7109375" style="1" bestFit="1" customWidth="1"/>
    <col min="11733" max="11733" width="29.85546875" style="1" bestFit="1" customWidth="1"/>
    <col min="11734" max="11734" width="6" style="1" bestFit="1" customWidth="1"/>
    <col min="11735" max="11735" width="11.7109375" style="1" bestFit="1" customWidth="1"/>
    <col min="11736" max="11736" width="15.85546875" style="1" bestFit="1" customWidth="1"/>
    <col min="11737" max="11980" width="9.140625" style="1"/>
    <col min="11981" max="11981" width="12.7109375" style="1" bestFit="1" customWidth="1"/>
    <col min="11982" max="11982" width="13.85546875" style="1" bestFit="1" customWidth="1"/>
    <col min="11983" max="11983" width="17.85546875" style="1" bestFit="1" customWidth="1"/>
    <col min="11984" max="11984" width="19.7109375" style="1" bestFit="1" customWidth="1"/>
    <col min="11985" max="11985" width="17.7109375" style="1" bestFit="1" customWidth="1"/>
    <col min="11986" max="11986" width="0.7109375" style="1" customWidth="1"/>
    <col min="11987" max="11987" width="19.140625" style="1" bestFit="1" customWidth="1"/>
    <col min="11988" max="11988" width="17.7109375" style="1" bestFit="1" customWidth="1"/>
    <col min="11989" max="11989" width="29.85546875" style="1" bestFit="1" customWidth="1"/>
    <col min="11990" max="11990" width="6" style="1" bestFit="1" customWidth="1"/>
    <col min="11991" max="11991" width="11.7109375" style="1" bestFit="1" customWidth="1"/>
    <col min="11992" max="11992" width="15.85546875" style="1" bestFit="1" customWidth="1"/>
    <col min="11993" max="12236" width="9.140625" style="1"/>
    <col min="12237" max="12237" width="12.7109375" style="1" bestFit="1" customWidth="1"/>
    <col min="12238" max="12238" width="13.85546875" style="1" bestFit="1" customWidth="1"/>
    <col min="12239" max="12239" width="17.85546875" style="1" bestFit="1" customWidth="1"/>
    <col min="12240" max="12240" width="19.7109375" style="1" bestFit="1" customWidth="1"/>
    <col min="12241" max="12241" width="17.7109375" style="1" bestFit="1" customWidth="1"/>
    <col min="12242" max="12242" width="0.7109375" style="1" customWidth="1"/>
    <col min="12243" max="12243" width="19.140625" style="1" bestFit="1" customWidth="1"/>
    <col min="12244" max="12244" width="17.7109375" style="1" bestFit="1" customWidth="1"/>
    <col min="12245" max="12245" width="29.85546875" style="1" bestFit="1" customWidth="1"/>
    <col min="12246" max="12246" width="6" style="1" bestFit="1" customWidth="1"/>
    <col min="12247" max="12247" width="11.7109375" style="1" bestFit="1" customWidth="1"/>
    <col min="12248" max="12248" width="15.85546875" style="1" bestFit="1" customWidth="1"/>
    <col min="12249" max="12492" width="9.140625" style="1"/>
    <col min="12493" max="12493" width="12.7109375" style="1" bestFit="1" customWidth="1"/>
    <col min="12494" max="12494" width="13.85546875" style="1" bestFit="1" customWidth="1"/>
    <col min="12495" max="12495" width="17.85546875" style="1" bestFit="1" customWidth="1"/>
    <col min="12496" max="12496" width="19.7109375" style="1" bestFit="1" customWidth="1"/>
    <col min="12497" max="12497" width="17.7109375" style="1" bestFit="1" customWidth="1"/>
    <col min="12498" max="12498" width="0.7109375" style="1" customWidth="1"/>
    <col min="12499" max="12499" width="19.140625" style="1" bestFit="1" customWidth="1"/>
    <col min="12500" max="12500" width="17.7109375" style="1" bestFit="1" customWidth="1"/>
    <col min="12501" max="12501" width="29.85546875" style="1" bestFit="1" customWidth="1"/>
    <col min="12502" max="12502" width="6" style="1" bestFit="1" customWidth="1"/>
    <col min="12503" max="12503" width="11.7109375" style="1" bestFit="1" customWidth="1"/>
    <col min="12504" max="12504" width="15.85546875" style="1" bestFit="1" customWidth="1"/>
    <col min="12505" max="12748" width="9.140625" style="1"/>
    <col min="12749" max="12749" width="12.7109375" style="1" bestFit="1" customWidth="1"/>
    <col min="12750" max="12750" width="13.85546875" style="1" bestFit="1" customWidth="1"/>
    <col min="12751" max="12751" width="17.85546875" style="1" bestFit="1" customWidth="1"/>
    <col min="12752" max="12752" width="19.7109375" style="1" bestFit="1" customWidth="1"/>
    <col min="12753" max="12753" width="17.7109375" style="1" bestFit="1" customWidth="1"/>
    <col min="12754" max="12754" width="0.7109375" style="1" customWidth="1"/>
    <col min="12755" max="12755" width="19.140625" style="1" bestFit="1" customWidth="1"/>
    <col min="12756" max="12756" width="17.7109375" style="1" bestFit="1" customWidth="1"/>
    <col min="12757" max="12757" width="29.85546875" style="1" bestFit="1" customWidth="1"/>
    <col min="12758" max="12758" width="6" style="1" bestFit="1" customWidth="1"/>
    <col min="12759" max="12759" width="11.7109375" style="1" bestFit="1" customWidth="1"/>
    <col min="12760" max="12760" width="15.85546875" style="1" bestFit="1" customWidth="1"/>
    <col min="12761" max="13004" width="9.140625" style="1"/>
    <col min="13005" max="13005" width="12.7109375" style="1" bestFit="1" customWidth="1"/>
    <col min="13006" max="13006" width="13.85546875" style="1" bestFit="1" customWidth="1"/>
    <col min="13007" max="13007" width="17.85546875" style="1" bestFit="1" customWidth="1"/>
    <col min="13008" max="13008" width="19.7109375" style="1" bestFit="1" customWidth="1"/>
    <col min="13009" max="13009" width="17.7109375" style="1" bestFit="1" customWidth="1"/>
    <col min="13010" max="13010" width="0.7109375" style="1" customWidth="1"/>
    <col min="13011" max="13011" width="19.140625" style="1" bestFit="1" customWidth="1"/>
    <col min="13012" max="13012" width="17.7109375" style="1" bestFit="1" customWidth="1"/>
    <col min="13013" max="13013" width="29.85546875" style="1" bestFit="1" customWidth="1"/>
    <col min="13014" max="13014" width="6" style="1" bestFit="1" customWidth="1"/>
    <col min="13015" max="13015" width="11.7109375" style="1" bestFit="1" customWidth="1"/>
    <col min="13016" max="13016" width="15.85546875" style="1" bestFit="1" customWidth="1"/>
    <col min="13017" max="13260" width="9.140625" style="1"/>
    <col min="13261" max="13261" width="12.7109375" style="1" bestFit="1" customWidth="1"/>
    <col min="13262" max="13262" width="13.85546875" style="1" bestFit="1" customWidth="1"/>
    <col min="13263" max="13263" width="17.85546875" style="1" bestFit="1" customWidth="1"/>
    <col min="13264" max="13264" width="19.7109375" style="1" bestFit="1" customWidth="1"/>
    <col min="13265" max="13265" width="17.7109375" style="1" bestFit="1" customWidth="1"/>
    <col min="13266" max="13266" width="0.7109375" style="1" customWidth="1"/>
    <col min="13267" max="13267" width="19.140625" style="1" bestFit="1" customWidth="1"/>
    <col min="13268" max="13268" width="17.7109375" style="1" bestFit="1" customWidth="1"/>
    <col min="13269" max="13269" width="29.85546875" style="1" bestFit="1" customWidth="1"/>
    <col min="13270" max="13270" width="6" style="1" bestFit="1" customWidth="1"/>
    <col min="13271" max="13271" width="11.7109375" style="1" bestFit="1" customWidth="1"/>
    <col min="13272" max="13272" width="15.85546875" style="1" bestFit="1" customWidth="1"/>
    <col min="13273" max="13516" width="9.140625" style="1"/>
    <col min="13517" max="13517" width="12.7109375" style="1" bestFit="1" customWidth="1"/>
    <col min="13518" max="13518" width="13.85546875" style="1" bestFit="1" customWidth="1"/>
    <col min="13519" max="13519" width="17.85546875" style="1" bestFit="1" customWidth="1"/>
    <col min="13520" max="13520" width="19.7109375" style="1" bestFit="1" customWidth="1"/>
    <col min="13521" max="13521" width="17.7109375" style="1" bestFit="1" customWidth="1"/>
    <col min="13522" max="13522" width="0.7109375" style="1" customWidth="1"/>
    <col min="13523" max="13523" width="19.140625" style="1" bestFit="1" customWidth="1"/>
    <col min="13524" max="13524" width="17.7109375" style="1" bestFit="1" customWidth="1"/>
    <col min="13525" max="13525" width="29.85546875" style="1" bestFit="1" customWidth="1"/>
    <col min="13526" max="13526" width="6" style="1" bestFit="1" customWidth="1"/>
    <col min="13527" max="13527" width="11.7109375" style="1" bestFit="1" customWidth="1"/>
    <col min="13528" max="13528" width="15.85546875" style="1" bestFit="1" customWidth="1"/>
    <col min="13529" max="13772" width="9.140625" style="1"/>
    <col min="13773" max="13773" width="12.7109375" style="1" bestFit="1" customWidth="1"/>
    <col min="13774" max="13774" width="13.85546875" style="1" bestFit="1" customWidth="1"/>
    <col min="13775" max="13775" width="17.85546875" style="1" bestFit="1" customWidth="1"/>
    <col min="13776" max="13776" width="19.7109375" style="1" bestFit="1" customWidth="1"/>
    <col min="13777" max="13777" width="17.7109375" style="1" bestFit="1" customWidth="1"/>
    <col min="13778" max="13778" width="0.7109375" style="1" customWidth="1"/>
    <col min="13779" max="13779" width="19.140625" style="1" bestFit="1" customWidth="1"/>
    <col min="13780" max="13780" width="17.7109375" style="1" bestFit="1" customWidth="1"/>
    <col min="13781" max="13781" width="29.85546875" style="1" bestFit="1" customWidth="1"/>
    <col min="13782" max="13782" width="6" style="1" bestFit="1" customWidth="1"/>
    <col min="13783" max="13783" width="11.7109375" style="1" bestFit="1" customWidth="1"/>
    <col min="13784" max="13784" width="15.85546875" style="1" bestFit="1" customWidth="1"/>
    <col min="13785" max="14028" width="9.140625" style="1"/>
    <col min="14029" max="14029" width="12.7109375" style="1" bestFit="1" customWidth="1"/>
    <col min="14030" max="14030" width="13.85546875" style="1" bestFit="1" customWidth="1"/>
    <col min="14031" max="14031" width="17.85546875" style="1" bestFit="1" customWidth="1"/>
    <col min="14032" max="14032" width="19.7109375" style="1" bestFit="1" customWidth="1"/>
    <col min="14033" max="14033" width="17.7109375" style="1" bestFit="1" customWidth="1"/>
    <col min="14034" max="14034" width="0.7109375" style="1" customWidth="1"/>
    <col min="14035" max="14035" width="19.140625" style="1" bestFit="1" customWidth="1"/>
    <col min="14036" max="14036" width="17.7109375" style="1" bestFit="1" customWidth="1"/>
    <col min="14037" max="14037" width="29.85546875" style="1" bestFit="1" customWidth="1"/>
    <col min="14038" max="14038" width="6" style="1" bestFit="1" customWidth="1"/>
    <col min="14039" max="14039" width="11.7109375" style="1" bestFit="1" customWidth="1"/>
    <col min="14040" max="14040" width="15.85546875" style="1" bestFit="1" customWidth="1"/>
    <col min="14041" max="14284" width="9.140625" style="1"/>
    <col min="14285" max="14285" width="12.7109375" style="1" bestFit="1" customWidth="1"/>
    <col min="14286" max="14286" width="13.85546875" style="1" bestFit="1" customWidth="1"/>
    <col min="14287" max="14287" width="17.85546875" style="1" bestFit="1" customWidth="1"/>
    <col min="14288" max="14288" width="19.7109375" style="1" bestFit="1" customWidth="1"/>
    <col min="14289" max="14289" width="17.7109375" style="1" bestFit="1" customWidth="1"/>
    <col min="14290" max="14290" width="0.7109375" style="1" customWidth="1"/>
    <col min="14291" max="14291" width="19.140625" style="1" bestFit="1" customWidth="1"/>
    <col min="14292" max="14292" width="17.7109375" style="1" bestFit="1" customWidth="1"/>
    <col min="14293" max="14293" width="29.85546875" style="1" bestFit="1" customWidth="1"/>
    <col min="14294" max="14294" width="6" style="1" bestFit="1" customWidth="1"/>
    <col min="14295" max="14295" width="11.7109375" style="1" bestFit="1" customWidth="1"/>
    <col min="14296" max="14296" width="15.85546875" style="1" bestFit="1" customWidth="1"/>
    <col min="14297" max="14540" width="9.140625" style="1"/>
    <col min="14541" max="14541" width="12.7109375" style="1" bestFit="1" customWidth="1"/>
    <col min="14542" max="14542" width="13.85546875" style="1" bestFit="1" customWidth="1"/>
    <col min="14543" max="14543" width="17.85546875" style="1" bestFit="1" customWidth="1"/>
    <col min="14544" max="14544" width="19.7109375" style="1" bestFit="1" customWidth="1"/>
    <col min="14545" max="14545" width="17.7109375" style="1" bestFit="1" customWidth="1"/>
    <col min="14546" max="14546" width="0.7109375" style="1" customWidth="1"/>
    <col min="14547" max="14547" width="19.140625" style="1" bestFit="1" customWidth="1"/>
    <col min="14548" max="14548" width="17.7109375" style="1" bestFit="1" customWidth="1"/>
    <col min="14549" max="14549" width="29.85546875" style="1" bestFit="1" customWidth="1"/>
    <col min="14550" max="14550" width="6" style="1" bestFit="1" customWidth="1"/>
    <col min="14551" max="14551" width="11.7109375" style="1" bestFit="1" customWidth="1"/>
    <col min="14552" max="14552" width="15.85546875" style="1" bestFit="1" customWidth="1"/>
    <col min="14553" max="14796" width="9.140625" style="1"/>
    <col min="14797" max="14797" width="12.7109375" style="1" bestFit="1" customWidth="1"/>
    <col min="14798" max="14798" width="13.85546875" style="1" bestFit="1" customWidth="1"/>
    <col min="14799" max="14799" width="17.85546875" style="1" bestFit="1" customWidth="1"/>
    <col min="14800" max="14800" width="19.7109375" style="1" bestFit="1" customWidth="1"/>
    <col min="14801" max="14801" width="17.7109375" style="1" bestFit="1" customWidth="1"/>
    <col min="14802" max="14802" width="0.7109375" style="1" customWidth="1"/>
    <col min="14803" max="14803" width="19.140625" style="1" bestFit="1" customWidth="1"/>
    <col min="14804" max="14804" width="17.7109375" style="1" bestFit="1" customWidth="1"/>
    <col min="14805" max="14805" width="29.85546875" style="1" bestFit="1" customWidth="1"/>
    <col min="14806" max="14806" width="6" style="1" bestFit="1" customWidth="1"/>
    <col min="14807" max="14807" width="11.7109375" style="1" bestFit="1" customWidth="1"/>
    <col min="14808" max="14808" width="15.85546875" style="1" bestFit="1" customWidth="1"/>
    <col min="14809" max="15052" width="9.140625" style="1"/>
    <col min="15053" max="15053" width="12.7109375" style="1" bestFit="1" customWidth="1"/>
    <col min="15054" max="15054" width="13.85546875" style="1" bestFit="1" customWidth="1"/>
    <col min="15055" max="15055" width="17.85546875" style="1" bestFit="1" customWidth="1"/>
    <col min="15056" max="15056" width="19.7109375" style="1" bestFit="1" customWidth="1"/>
    <col min="15057" max="15057" width="17.7109375" style="1" bestFit="1" customWidth="1"/>
    <col min="15058" max="15058" width="0.7109375" style="1" customWidth="1"/>
    <col min="15059" max="15059" width="19.140625" style="1" bestFit="1" customWidth="1"/>
    <col min="15060" max="15060" width="17.7109375" style="1" bestFit="1" customWidth="1"/>
    <col min="15061" max="15061" width="29.85546875" style="1" bestFit="1" customWidth="1"/>
    <col min="15062" max="15062" width="6" style="1" bestFit="1" customWidth="1"/>
    <col min="15063" max="15063" width="11.7109375" style="1" bestFit="1" customWidth="1"/>
    <col min="15064" max="15064" width="15.85546875" style="1" bestFit="1" customWidth="1"/>
    <col min="15065" max="15308" width="9.140625" style="1"/>
    <col min="15309" max="15309" width="12.7109375" style="1" bestFit="1" customWidth="1"/>
    <col min="15310" max="15310" width="13.85546875" style="1" bestFit="1" customWidth="1"/>
    <col min="15311" max="15311" width="17.85546875" style="1" bestFit="1" customWidth="1"/>
    <col min="15312" max="15312" width="19.7109375" style="1" bestFit="1" customWidth="1"/>
    <col min="15313" max="15313" width="17.7109375" style="1" bestFit="1" customWidth="1"/>
    <col min="15314" max="15314" width="0.7109375" style="1" customWidth="1"/>
    <col min="15315" max="15315" width="19.140625" style="1" bestFit="1" customWidth="1"/>
    <col min="15316" max="15316" width="17.7109375" style="1" bestFit="1" customWidth="1"/>
    <col min="15317" max="15317" width="29.85546875" style="1" bestFit="1" customWidth="1"/>
    <col min="15318" max="15318" width="6" style="1" bestFit="1" customWidth="1"/>
    <col min="15319" max="15319" width="11.7109375" style="1" bestFit="1" customWidth="1"/>
    <col min="15320" max="15320" width="15.85546875" style="1" bestFit="1" customWidth="1"/>
    <col min="15321" max="15564" width="9.140625" style="1"/>
    <col min="15565" max="15565" width="12.7109375" style="1" bestFit="1" customWidth="1"/>
    <col min="15566" max="15566" width="13.85546875" style="1" bestFit="1" customWidth="1"/>
    <col min="15567" max="15567" width="17.85546875" style="1" bestFit="1" customWidth="1"/>
    <col min="15568" max="15568" width="19.7109375" style="1" bestFit="1" customWidth="1"/>
    <col min="15569" max="15569" width="17.7109375" style="1" bestFit="1" customWidth="1"/>
    <col min="15570" max="15570" width="0.7109375" style="1" customWidth="1"/>
    <col min="15571" max="15571" width="19.140625" style="1" bestFit="1" customWidth="1"/>
    <col min="15572" max="15572" width="17.7109375" style="1" bestFit="1" customWidth="1"/>
    <col min="15573" max="15573" width="29.85546875" style="1" bestFit="1" customWidth="1"/>
    <col min="15574" max="15574" width="6" style="1" bestFit="1" customWidth="1"/>
    <col min="15575" max="15575" width="11.7109375" style="1" bestFit="1" customWidth="1"/>
    <col min="15576" max="15576" width="15.85546875" style="1" bestFit="1" customWidth="1"/>
    <col min="15577" max="15820" width="9.140625" style="1"/>
    <col min="15821" max="15821" width="12.7109375" style="1" bestFit="1" customWidth="1"/>
    <col min="15822" max="15822" width="13.85546875" style="1" bestFit="1" customWidth="1"/>
    <col min="15823" max="15823" width="17.85546875" style="1" bestFit="1" customWidth="1"/>
    <col min="15824" max="15824" width="19.7109375" style="1" bestFit="1" customWidth="1"/>
    <col min="15825" max="15825" width="17.7109375" style="1" bestFit="1" customWidth="1"/>
    <col min="15826" max="15826" width="0.7109375" style="1" customWidth="1"/>
    <col min="15827" max="15827" width="19.140625" style="1" bestFit="1" customWidth="1"/>
    <col min="15828" max="15828" width="17.7109375" style="1" bestFit="1" customWidth="1"/>
    <col min="15829" max="15829" width="29.85546875" style="1" bestFit="1" customWidth="1"/>
    <col min="15830" max="15830" width="6" style="1" bestFit="1" customWidth="1"/>
    <col min="15831" max="15831" width="11.7109375" style="1" bestFit="1" customWidth="1"/>
    <col min="15832" max="15832" width="15.85546875" style="1" bestFit="1" customWidth="1"/>
    <col min="15833" max="16076" width="9.140625" style="1"/>
    <col min="16077" max="16077" width="12.7109375" style="1" bestFit="1" customWidth="1"/>
    <col min="16078" max="16078" width="13.85546875" style="1" bestFit="1" customWidth="1"/>
    <col min="16079" max="16079" width="17.85546875" style="1" bestFit="1" customWidth="1"/>
    <col min="16080" max="16080" width="19.7109375" style="1" bestFit="1" customWidth="1"/>
    <col min="16081" max="16081" width="17.7109375" style="1" bestFit="1" customWidth="1"/>
    <col min="16082" max="16082" width="0.7109375" style="1" customWidth="1"/>
    <col min="16083" max="16083" width="19.140625" style="1" bestFit="1" customWidth="1"/>
    <col min="16084" max="16084" width="17.7109375" style="1" bestFit="1" customWidth="1"/>
    <col min="16085" max="16085" width="29.85546875" style="1" bestFit="1" customWidth="1"/>
    <col min="16086" max="16086" width="6" style="1" bestFit="1" customWidth="1"/>
    <col min="16087" max="16087" width="11.7109375" style="1" bestFit="1" customWidth="1"/>
    <col min="16088" max="16088" width="15.85546875" style="1" bestFit="1" customWidth="1"/>
    <col min="16089" max="16384" width="9.140625" style="1"/>
  </cols>
  <sheetData>
    <row r="1" spans="1:10" ht="42.75" x14ac:dyDescent="0.5">
      <c r="A1" s="35"/>
      <c r="B1" s="175" t="s">
        <v>68</v>
      </c>
      <c r="C1" s="175"/>
      <c r="D1" s="175"/>
      <c r="E1" s="175"/>
      <c r="F1" s="36"/>
      <c r="G1" s="35"/>
    </row>
    <row r="2" spans="1:10" ht="27" customHeight="1" x14ac:dyDescent="0.65">
      <c r="A2" s="35"/>
      <c r="B2" s="176" t="s">
        <v>209</v>
      </c>
      <c r="C2" s="176"/>
      <c r="D2" s="176"/>
      <c r="E2" s="176"/>
      <c r="F2" s="36"/>
      <c r="G2" s="35"/>
    </row>
    <row r="3" spans="1:10" ht="17.25" customHeight="1" thickBot="1" x14ac:dyDescent="0.75">
      <c r="A3" s="35"/>
      <c r="B3" s="37"/>
      <c r="C3" s="37"/>
      <c r="D3" s="37"/>
      <c r="E3" s="58"/>
      <c r="F3" s="36"/>
      <c r="G3" s="35"/>
    </row>
    <row r="4" spans="1:10" ht="24" customHeight="1" thickBot="1" x14ac:dyDescent="0.75">
      <c r="A4" s="35"/>
      <c r="B4" s="88" t="s">
        <v>1</v>
      </c>
      <c r="C4" s="88" t="s">
        <v>0</v>
      </c>
      <c r="D4" s="38"/>
      <c r="E4" s="79" t="s">
        <v>182</v>
      </c>
      <c r="F4" s="36"/>
      <c r="G4" s="35"/>
    </row>
    <row r="5" spans="1:10" ht="26.25" customHeight="1" x14ac:dyDescent="0.5">
      <c r="A5" s="35"/>
      <c r="B5" s="41">
        <v>1</v>
      </c>
      <c r="C5" s="42" t="s">
        <v>207</v>
      </c>
      <c r="D5" s="28"/>
      <c r="E5" s="40">
        <f>'ریز محاسبات'!I42*30.5</f>
        <v>48994841.870967738</v>
      </c>
      <c r="F5" s="36"/>
      <c r="G5" s="39"/>
      <c r="H5" s="81"/>
      <c r="J5" s="81"/>
    </row>
    <row r="6" spans="1:10" ht="26.25" customHeight="1" x14ac:dyDescent="0.5">
      <c r="A6" s="35"/>
      <c r="B6" s="41">
        <v>2</v>
      </c>
      <c r="C6" s="42" t="s">
        <v>2</v>
      </c>
      <c r="D6" s="28"/>
      <c r="E6" s="43">
        <f>'ریز محاسبات'!AG42</f>
        <v>6608333.3333333358</v>
      </c>
      <c r="F6" s="36"/>
      <c r="H6" s="81"/>
    </row>
    <row r="7" spans="1:10" ht="26.25" customHeight="1" x14ac:dyDescent="0.5">
      <c r="A7" s="35"/>
      <c r="B7" s="41">
        <v>3</v>
      </c>
      <c r="C7" s="42" t="s">
        <v>3</v>
      </c>
      <c r="D7" s="28"/>
      <c r="E7" s="43">
        <f>'ریز محاسبات'!AI42</f>
        <v>8641666.6666666623</v>
      </c>
      <c r="F7" s="36"/>
      <c r="G7" s="39"/>
      <c r="H7" s="81"/>
    </row>
    <row r="8" spans="1:10" ht="26.25" customHeight="1" x14ac:dyDescent="0.5">
      <c r="A8" s="35"/>
      <c r="B8" s="41">
        <v>4</v>
      </c>
      <c r="C8" s="42" t="s">
        <v>4</v>
      </c>
      <c r="D8" s="28"/>
      <c r="E8" s="43">
        <f>'ریز محاسبات'!S42</f>
        <v>5346035.0806451617</v>
      </c>
      <c r="F8" s="36"/>
      <c r="G8" s="39"/>
      <c r="H8" s="81"/>
    </row>
    <row r="9" spans="1:10" ht="26.25" customHeight="1" x14ac:dyDescent="0.5">
      <c r="A9" s="35"/>
      <c r="B9" s="41">
        <v>5</v>
      </c>
      <c r="C9" s="42" t="s">
        <v>5</v>
      </c>
      <c r="D9" s="28"/>
      <c r="E9" s="43">
        <f>'ریز محاسبات'!AN47</f>
        <v>8031941.2903225804</v>
      </c>
      <c r="F9" s="36"/>
      <c r="G9" s="39"/>
      <c r="H9" s="81"/>
    </row>
    <row r="10" spans="1:10" ht="26.25" customHeight="1" x14ac:dyDescent="0.5">
      <c r="A10" s="35"/>
      <c r="B10" s="41">
        <v>6</v>
      </c>
      <c r="C10" s="42" t="s">
        <v>6</v>
      </c>
      <c r="D10" s="28"/>
      <c r="E10" s="43">
        <f>'ریز محاسبات'!AN48</f>
        <v>4015970.6451612902</v>
      </c>
      <c r="F10" s="36"/>
      <c r="G10" s="65"/>
      <c r="H10" s="81"/>
    </row>
    <row r="11" spans="1:10" ht="26.25" customHeight="1" x14ac:dyDescent="0.5">
      <c r="A11" s="35"/>
      <c r="B11" s="41">
        <v>7</v>
      </c>
      <c r="C11" s="45" t="s">
        <v>70</v>
      </c>
      <c r="D11" s="28"/>
      <c r="E11" s="43" t="s">
        <v>7</v>
      </c>
      <c r="F11" s="36"/>
      <c r="G11" s="39"/>
      <c r="H11" s="81"/>
    </row>
    <row r="12" spans="1:10" ht="26.25" customHeight="1" x14ac:dyDescent="0.5">
      <c r="A12" s="35"/>
      <c r="B12" s="41">
        <v>8</v>
      </c>
      <c r="C12" s="42" t="s">
        <v>8</v>
      </c>
      <c r="D12" s="28"/>
      <c r="E12" s="43" t="s">
        <v>7</v>
      </c>
      <c r="F12" s="36"/>
      <c r="G12" s="39"/>
      <c r="H12" s="81"/>
    </row>
    <row r="13" spans="1:10" ht="26.25" customHeight="1" x14ac:dyDescent="0.5">
      <c r="A13" s="35"/>
      <c r="B13" s="41">
        <v>9</v>
      </c>
      <c r="C13" s="42" t="s">
        <v>36</v>
      </c>
      <c r="D13" s="28"/>
      <c r="E13" s="43">
        <f>'ریز محاسبات'!N42</f>
        <v>1701833.8100806451</v>
      </c>
      <c r="F13" s="36"/>
      <c r="G13" s="39"/>
      <c r="H13" s="81"/>
    </row>
    <row r="14" spans="1:10" ht="26.25" customHeight="1" x14ac:dyDescent="0.5">
      <c r="A14" s="35"/>
      <c r="B14" s="41">
        <v>10</v>
      </c>
      <c r="C14" s="42" t="s">
        <v>206</v>
      </c>
      <c r="D14" s="28"/>
      <c r="E14" s="43" t="s">
        <v>7</v>
      </c>
      <c r="F14" s="36"/>
      <c r="G14" s="39"/>
      <c r="H14" s="81"/>
    </row>
    <row r="15" spans="1:10" ht="26.25" customHeight="1" x14ac:dyDescent="0.5">
      <c r="A15" s="35"/>
      <c r="B15" s="41">
        <v>11</v>
      </c>
      <c r="C15" s="42" t="s">
        <v>9</v>
      </c>
      <c r="D15" s="28"/>
      <c r="E15" s="43" t="s">
        <v>7</v>
      </c>
      <c r="F15" s="36"/>
      <c r="G15" s="39"/>
      <c r="H15" s="81"/>
    </row>
    <row r="16" spans="1:10" ht="26.25" customHeight="1" x14ac:dyDescent="0.55000000000000004">
      <c r="A16" s="35"/>
      <c r="B16" s="41">
        <v>12</v>
      </c>
      <c r="C16" s="42" t="s">
        <v>184</v>
      </c>
      <c r="D16" s="28"/>
      <c r="E16" s="43">
        <f>'ریز محاسبات'!V42</f>
        <v>10642386.29910762</v>
      </c>
      <c r="F16" s="36"/>
      <c r="G16" s="62"/>
      <c r="H16" s="81"/>
    </row>
    <row r="17" spans="1:9" ht="26.25" customHeight="1" x14ac:dyDescent="0.55000000000000004">
      <c r="A17" s="35"/>
      <c r="B17" s="41">
        <v>13</v>
      </c>
      <c r="C17" s="42" t="s">
        <v>183</v>
      </c>
      <c r="D17" s="28"/>
      <c r="E17" s="43">
        <f>'ریز محاسبات'!Z42</f>
        <v>3615904.5709235524</v>
      </c>
      <c r="F17" s="36"/>
      <c r="G17" s="46"/>
      <c r="H17" s="81"/>
    </row>
    <row r="18" spans="1:9" ht="24.75" customHeight="1" thickBot="1" x14ac:dyDescent="0.55000000000000004">
      <c r="A18" s="35"/>
      <c r="B18" s="41">
        <v>14</v>
      </c>
      <c r="C18" s="29" t="s">
        <v>217</v>
      </c>
      <c r="D18" s="28"/>
      <c r="E18" s="30">
        <v>700000</v>
      </c>
      <c r="F18" s="36"/>
      <c r="H18" s="81"/>
    </row>
    <row r="19" spans="1:9" ht="27.75" customHeight="1" thickBot="1" x14ac:dyDescent="0.8">
      <c r="A19" s="35"/>
      <c r="B19" s="171" t="s">
        <v>10</v>
      </c>
      <c r="C19" s="172"/>
      <c r="D19" s="44"/>
      <c r="E19" s="47">
        <f>SUM(E5:E18)</f>
        <v>98298913.567208603</v>
      </c>
      <c r="F19" s="48"/>
      <c r="G19" s="89">
        <v>16.669998710000002</v>
      </c>
    </row>
    <row r="20" spans="1:9" ht="31.5" customHeight="1" thickBot="1" x14ac:dyDescent="0.8">
      <c r="A20" s="35"/>
      <c r="B20" s="173" t="s">
        <v>11</v>
      </c>
      <c r="C20" s="174"/>
      <c r="D20" s="28"/>
      <c r="E20" s="49">
        <f>E23*G19/100</f>
        <v>20760708.673235208</v>
      </c>
      <c r="F20" s="48"/>
      <c r="G20" s="89">
        <v>4.4000000000000004</v>
      </c>
    </row>
    <row r="21" spans="1:9" ht="27.75" customHeight="1" thickBot="1" x14ac:dyDescent="0.6">
      <c r="A21" s="35"/>
      <c r="B21" s="177" t="s">
        <v>216</v>
      </c>
      <c r="C21" s="178"/>
      <c r="D21" s="44"/>
      <c r="E21" s="91">
        <f>G20</f>
        <v>4.4000000000000004</v>
      </c>
      <c r="F21" s="36"/>
      <c r="G21" s="90">
        <f>(100-G19-G20)/100</f>
        <v>0.78930001289999996</v>
      </c>
    </row>
    <row r="22" spans="1:9" ht="27.75" customHeight="1" thickBot="1" x14ac:dyDescent="0.6">
      <c r="A22" s="35"/>
      <c r="B22" s="179"/>
      <c r="C22" s="180"/>
      <c r="D22" s="44"/>
      <c r="E22" s="92">
        <f>ROUND(E23*G20/100,0)</f>
        <v>5479732</v>
      </c>
      <c r="F22" s="46"/>
    </row>
    <row r="23" spans="1:9" ht="27.75" customHeight="1" thickBot="1" x14ac:dyDescent="0.8">
      <c r="A23" s="35"/>
      <c r="B23" s="171" t="s">
        <v>37</v>
      </c>
      <c r="C23" s="172"/>
      <c r="D23" s="44"/>
      <c r="E23" s="47">
        <f>E19/G21</f>
        <v>124539353.80799562</v>
      </c>
      <c r="F23" s="50"/>
      <c r="H23" s="26"/>
    </row>
    <row r="24" spans="1:9" ht="27.75" customHeight="1" thickBot="1" x14ac:dyDescent="0.8">
      <c r="A24" s="35"/>
      <c r="B24" s="173" t="s">
        <v>12</v>
      </c>
      <c r="C24" s="174"/>
      <c r="D24" s="53"/>
      <c r="E24" s="52">
        <v>31</v>
      </c>
      <c r="F24" s="50"/>
      <c r="H24" s="47">
        <v>43086225154</v>
      </c>
      <c r="I24" s="111" t="s">
        <v>205</v>
      </c>
    </row>
    <row r="25" spans="1:9" ht="27.75" customHeight="1" thickBot="1" x14ac:dyDescent="0.55000000000000004">
      <c r="A25" s="35"/>
      <c r="B25" s="171" t="s">
        <v>13</v>
      </c>
      <c r="C25" s="172"/>
      <c r="D25" s="44"/>
      <c r="E25" s="47">
        <f>E24*E23</f>
        <v>3860719968.047864</v>
      </c>
      <c r="F25" s="51"/>
      <c r="I25" s="87"/>
    </row>
    <row r="26" spans="1:9" ht="25.5" customHeight="1" thickBot="1" x14ac:dyDescent="0.55000000000000004">
      <c r="A26" s="35"/>
      <c r="B26" s="171" t="s">
        <v>208</v>
      </c>
      <c r="C26" s="172"/>
      <c r="D26" s="56"/>
      <c r="E26" s="47">
        <f>E25*12</f>
        <v>46328639616.574371</v>
      </c>
      <c r="F26" s="36"/>
      <c r="H26" s="122">
        <f>E26/H24</f>
        <v>1.0752540852902579</v>
      </c>
    </row>
    <row r="27" spans="1:9" ht="19.5" customHeight="1" x14ac:dyDescent="0.65">
      <c r="A27" s="35"/>
      <c r="B27" s="57"/>
      <c r="C27" s="57"/>
      <c r="D27" s="57"/>
      <c r="E27" s="57"/>
      <c r="F27" s="36"/>
      <c r="H27" s="26"/>
      <c r="I27" s="26"/>
    </row>
    <row r="28" spans="1:9" ht="28.5" customHeight="1" x14ac:dyDescent="0.65">
      <c r="A28" s="35"/>
      <c r="B28" s="57"/>
      <c r="C28" s="57"/>
      <c r="D28" s="57"/>
      <c r="E28" s="80" t="s">
        <v>179</v>
      </c>
      <c r="F28" s="36"/>
      <c r="H28" s="26"/>
      <c r="I28" s="26"/>
    </row>
    <row r="29" spans="1:9" ht="26.25" customHeight="1" x14ac:dyDescent="0.65">
      <c r="A29" s="35"/>
      <c r="F29" s="36"/>
      <c r="H29" s="26"/>
      <c r="I29" s="26"/>
    </row>
    <row r="30" spans="1:9" s="26" customFormat="1" ht="26.25" customHeight="1" x14ac:dyDescent="0.65">
      <c r="B30" s="59"/>
      <c r="C30" s="59"/>
      <c r="D30" s="60"/>
      <c r="E30" s="60"/>
      <c r="F30" s="27"/>
      <c r="G30" s="54"/>
    </row>
    <row r="31" spans="1:9" s="26" customFormat="1" ht="30" x14ac:dyDescent="0.65">
      <c r="B31" s="59"/>
      <c r="C31" s="59"/>
      <c r="D31" s="60"/>
      <c r="E31" s="60"/>
      <c r="F31" s="27"/>
    </row>
    <row r="32" spans="1:9" s="26" customFormat="1" ht="27.75" x14ac:dyDescent="0.65">
      <c r="B32" s="61"/>
      <c r="C32" s="61"/>
      <c r="D32" s="61"/>
      <c r="E32" s="61"/>
      <c r="F32" s="27"/>
    </row>
    <row r="33" spans="2:9" s="26" customFormat="1" ht="27.75" x14ac:dyDescent="0.65">
      <c r="B33" s="61"/>
      <c r="C33" s="61"/>
      <c r="D33" s="61"/>
      <c r="E33" s="61"/>
      <c r="F33" s="27"/>
    </row>
    <row r="34" spans="2:9" s="26" customFormat="1" ht="27.75" x14ac:dyDescent="0.65">
      <c r="B34" s="61"/>
      <c r="C34" s="61"/>
      <c r="D34" s="61"/>
      <c r="E34" s="61"/>
      <c r="F34" s="27"/>
      <c r="H34" s="1"/>
      <c r="I34" s="1"/>
    </row>
    <row r="35" spans="2:9" s="26" customFormat="1" ht="27.75" x14ac:dyDescent="0.65">
      <c r="B35" s="61"/>
      <c r="C35" s="61"/>
      <c r="D35" s="61"/>
      <c r="E35" s="61"/>
      <c r="F35" s="27"/>
      <c r="H35" s="1"/>
      <c r="I35" s="1"/>
    </row>
    <row r="36" spans="2:9" s="26" customFormat="1" ht="27.75" x14ac:dyDescent="0.65">
      <c r="B36" s="61"/>
      <c r="C36" s="61"/>
      <c r="D36" s="61"/>
      <c r="E36" s="61"/>
      <c r="F36" s="27"/>
      <c r="H36" s="1"/>
      <c r="I36" s="1"/>
    </row>
    <row r="37" spans="2:9" s="26" customFormat="1" ht="27.75" x14ac:dyDescent="0.65">
      <c r="B37" s="61"/>
      <c r="C37" s="61"/>
      <c r="D37" s="61"/>
      <c r="E37" s="61"/>
      <c r="F37" s="27"/>
      <c r="H37" s="1"/>
      <c r="I37" s="1"/>
    </row>
    <row r="38" spans="2:9" s="26" customFormat="1" ht="27.75" x14ac:dyDescent="0.65">
      <c r="B38" s="61"/>
      <c r="C38" s="61"/>
      <c r="D38" s="61"/>
      <c r="E38" s="61"/>
      <c r="F38" s="27"/>
      <c r="H38" s="1"/>
      <c r="I38" s="1"/>
    </row>
    <row r="39" spans="2:9" s="26" customFormat="1" ht="27.75" x14ac:dyDescent="0.65">
      <c r="B39" s="61"/>
      <c r="C39" s="61"/>
      <c r="D39" s="61"/>
      <c r="E39" s="61"/>
      <c r="F39" s="27"/>
      <c r="H39" s="1"/>
      <c r="I39" s="1"/>
    </row>
    <row r="40" spans="2:9" s="26" customFormat="1" ht="27.75" x14ac:dyDescent="0.65">
      <c r="B40" s="61"/>
      <c r="C40" s="61"/>
      <c r="D40" s="61"/>
      <c r="E40" s="61"/>
      <c r="F40" s="27"/>
      <c r="H40" s="1"/>
      <c r="I40" s="1"/>
    </row>
    <row r="50" ht="27" customHeight="1" x14ac:dyDescent="0.5"/>
  </sheetData>
  <mergeCells count="9">
    <mergeCell ref="B24:C24"/>
    <mergeCell ref="B25:C25"/>
    <mergeCell ref="B26:C26"/>
    <mergeCell ref="B1:E1"/>
    <mergeCell ref="B2:E2"/>
    <mergeCell ref="B19:C19"/>
    <mergeCell ref="B20:C20"/>
    <mergeCell ref="B21:C22"/>
    <mergeCell ref="B23:C23"/>
  </mergeCells>
  <printOptions horizontalCentered="1"/>
  <pageMargins left="0.28000000000000003" right="0.21" top="0" bottom="1.1811023622047245" header="0" footer="0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آنالیز مناقصه 1402-1401</vt:lpstr>
      <vt:lpstr>اطلاعات پرسنل</vt:lpstr>
      <vt:lpstr>آنالیز سود و هزینه های سربار</vt:lpstr>
      <vt:lpstr>ریز محاسبات</vt:lpstr>
      <vt:lpstr>آنالیز آبیک،طارم وبهره برداری2 </vt:lpstr>
      <vt:lpstr>آنالیز پیشنهادی مذاکره 31 نفر </vt:lpstr>
      <vt:lpstr>'آنالیز پیشنهادی مذاکره 31 نفر '!Print_Area</vt:lpstr>
      <vt:lpstr>'آنالیز سود و هزینه های سربار'!Print_Area</vt:lpstr>
      <vt:lpstr>'آنالیز مناقصه 1402-1401'!Print_Area</vt:lpstr>
      <vt:lpstr>'ریز محاسبات'!Print_Area</vt:lpstr>
    </vt:vector>
  </TitlesOfParts>
  <Company>Gerdoo.Net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Gerdoo</dc:creator>
  <cp:lastModifiedBy>se-me-13 Najaf abadi</cp:lastModifiedBy>
  <cp:lastPrinted>2023-04-13T07:37:44Z</cp:lastPrinted>
  <dcterms:created xsi:type="dcterms:W3CDTF">2019-06-08T06:40:00Z</dcterms:created>
  <dcterms:modified xsi:type="dcterms:W3CDTF">2023-04-18T10:41:32Z</dcterms:modified>
</cp:coreProperties>
</file>