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-me-13\Desktop\"/>
    </mc:Choice>
  </mc:AlternateContent>
  <bookViews>
    <workbookView xWindow="0" yWindow="0" windowWidth="20490" windowHeight="7620"/>
  </bookViews>
  <sheets>
    <sheet name="چارت نیروهای شاغل" sheetId="11" r:id="rId1"/>
    <sheet name="پیش بینی" sheetId="10" r:id="rId2"/>
    <sheet name="میانگین حقوق" sheetId="9" r:id="rId3"/>
    <sheet name="قزوین" sheetId="6" r:id="rId4"/>
    <sheet name="البرز" sheetId="4" r:id="rId5"/>
    <sheet name="آبیک" sheetId="1" r:id="rId6"/>
    <sheet name="تاکستان" sheetId="2" r:id="rId7"/>
    <sheet name="بویین زهرا" sheetId="3" r:id="rId8"/>
    <sheet name="پایه حقوق" sheetId="7" r:id="rId9"/>
  </sheets>
  <calcPr calcId="162913"/>
</workbook>
</file>

<file path=xl/calcChain.xml><?xml version="1.0" encoding="utf-8"?>
<calcChain xmlns="http://schemas.openxmlformats.org/spreadsheetml/2006/main">
  <c r="D10" i="11" l="1"/>
  <c r="E10" i="11"/>
  <c r="F10" i="11"/>
  <c r="G10" i="11"/>
  <c r="H10" i="11"/>
  <c r="C10" i="11"/>
  <c r="I4" i="11"/>
  <c r="I5" i="11"/>
  <c r="I6" i="11"/>
  <c r="I7" i="11"/>
  <c r="I8" i="11"/>
  <c r="I9" i="11"/>
  <c r="I3" i="11"/>
  <c r="I10" i="11" l="1"/>
  <c r="D11" i="10"/>
  <c r="E11" i="10"/>
  <c r="C11" i="10"/>
  <c r="E10" i="10"/>
  <c r="E8" i="10"/>
  <c r="E4" i="10"/>
  <c r="E5" i="10"/>
  <c r="E6" i="10"/>
  <c r="E7" i="10"/>
  <c r="E9" i="10"/>
  <c r="E3" i="10"/>
  <c r="B6" i="9" l="1"/>
  <c r="B5" i="9"/>
  <c r="B4" i="9"/>
  <c r="K5" i="1"/>
  <c r="K4" i="1"/>
  <c r="J7" i="6" l="1"/>
  <c r="N7" i="6" s="1"/>
  <c r="K7" i="6"/>
  <c r="S4" i="4"/>
  <c r="R4" i="4"/>
  <c r="R5" i="4"/>
  <c r="S5" i="4"/>
  <c r="R6" i="4"/>
  <c r="S6" i="4"/>
  <c r="R7" i="4"/>
  <c r="S7" i="4"/>
  <c r="R8" i="4"/>
  <c r="S8" i="4"/>
  <c r="R9" i="4"/>
  <c r="S9" i="4"/>
  <c r="R10" i="4"/>
  <c r="S10" i="4"/>
  <c r="R11" i="4"/>
  <c r="S11" i="4"/>
  <c r="O7" i="6" l="1"/>
  <c r="P7" i="6"/>
  <c r="Q11" i="4" l="1"/>
  <c r="K6" i="3" l="1"/>
  <c r="K5" i="3"/>
  <c r="K4" i="3"/>
  <c r="K7" i="3"/>
  <c r="K5" i="2"/>
  <c r="K6" i="2"/>
  <c r="K7" i="2"/>
  <c r="K8" i="2"/>
  <c r="K9" i="2"/>
  <c r="K10" i="2"/>
  <c r="K11" i="2"/>
  <c r="K12" i="2"/>
  <c r="K4" i="2"/>
  <c r="J5" i="2"/>
  <c r="J6" i="2"/>
  <c r="J7" i="2"/>
  <c r="J8" i="2"/>
  <c r="J9" i="2"/>
  <c r="J10" i="2"/>
  <c r="J11" i="2"/>
  <c r="J12" i="2"/>
  <c r="J4" i="2"/>
  <c r="J6" i="1"/>
  <c r="J7" i="1"/>
  <c r="J8" i="1"/>
  <c r="J4" i="1"/>
  <c r="J5" i="1"/>
  <c r="P5" i="1" s="1"/>
  <c r="K5" i="4"/>
  <c r="K6" i="4"/>
  <c r="K7" i="4"/>
  <c r="K8" i="4"/>
  <c r="K9" i="4"/>
  <c r="K10" i="4"/>
  <c r="K11" i="4"/>
  <c r="K4" i="4"/>
  <c r="P5" i="2"/>
  <c r="P6" i="2"/>
  <c r="P10" i="2"/>
  <c r="J5" i="6"/>
  <c r="J8" i="6"/>
  <c r="J12" i="6"/>
  <c r="J10" i="6"/>
  <c r="J11" i="6"/>
  <c r="J15" i="6"/>
  <c r="J13" i="6"/>
  <c r="J17" i="6"/>
  <c r="J14" i="6"/>
  <c r="J16" i="6"/>
  <c r="J18" i="6"/>
  <c r="J9" i="6"/>
  <c r="J19" i="6"/>
  <c r="Q19" i="6" s="1"/>
  <c r="J20" i="6"/>
  <c r="J26" i="6"/>
  <c r="Q26" i="6" s="1"/>
  <c r="J27" i="6"/>
  <c r="Q27" i="6" s="1"/>
  <c r="J28" i="6"/>
  <c r="Q28" i="6" s="1"/>
  <c r="J29" i="6"/>
  <c r="Q29" i="6" s="1"/>
  <c r="J22" i="6"/>
  <c r="J21" i="6"/>
  <c r="J23" i="6"/>
  <c r="J24" i="6"/>
  <c r="J25" i="6"/>
  <c r="J30" i="6"/>
  <c r="Q30" i="6" s="1"/>
  <c r="J6" i="6"/>
  <c r="J31" i="6"/>
  <c r="Q31" i="6" s="1"/>
  <c r="J4" i="6"/>
  <c r="P8" i="6"/>
  <c r="K5" i="6"/>
  <c r="K8" i="6"/>
  <c r="K12" i="6"/>
  <c r="K10" i="6"/>
  <c r="K11" i="6"/>
  <c r="K15" i="6"/>
  <c r="K13" i="6"/>
  <c r="K17" i="6"/>
  <c r="K14" i="6"/>
  <c r="K16" i="6"/>
  <c r="K18" i="6"/>
  <c r="K9" i="6"/>
  <c r="K19" i="6"/>
  <c r="K20" i="6"/>
  <c r="K26" i="6"/>
  <c r="K27" i="6"/>
  <c r="K28" i="6"/>
  <c r="K29" i="6"/>
  <c r="K22" i="6"/>
  <c r="K21" i="6"/>
  <c r="K23" i="6"/>
  <c r="K24" i="6"/>
  <c r="K25" i="6"/>
  <c r="K30" i="6"/>
  <c r="K6" i="6"/>
  <c r="K31" i="6"/>
  <c r="K4" i="6"/>
  <c r="M5" i="6"/>
  <c r="M8" i="6" s="1"/>
  <c r="M12" i="6" s="1"/>
  <c r="M10" i="6" s="1"/>
  <c r="M11" i="6" s="1"/>
  <c r="M15" i="6" s="1"/>
  <c r="M13" i="6" s="1"/>
  <c r="M17" i="6" s="1"/>
  <c r="M14" i="6" s="1"/>
  <c r="M16" i="6" s="1"/>
  <c r="M18" i="6" s="1"/>
  <c r="L5" i="6"/>
  <c r="L8" i="6" s="1"/>
  <c r="L12" i="6" s="1"/>
  <c r="L10" i="6" s="1"/>
  <c r="L11" i="6" s="1"/>
  <c r="L15" i="6" s="1"/>
  <c r="L13" i="6" s="1"/>
  <c r="L17" i="6" s="1"/>
  <c r="L14" i="6" s="1"/>
  <c r="L16" i="6" s="1"/>
  <c r="L18" i="6" s="1"/>
  <c r="L9" i="6" s="1"/>
  <c r="L19" i="6" s="1"/>
  <c r="L7" i="6" s="1"/>
  <c r="L6" i="6" s="1"/>
  <c r="L20" i="6" s="1"/>
  <c r="L26" i="6" s="1"/>
  <c r="L27" i="6" s="1"/>
  <c r="L28" i="6" s="1"/>
  <c r="L29" i="6" s="1"/>
  <c r="L22" i="6" s="1"/>
  <c r="L21" i="6" s="1"/>
  <c r="L23" i="6" s="1"/>
  <c r="L24" i="6" s="1"/>
  <c r="L25" i="6" s="1"/>
  <c r="L30" i="6" s="1"/>
  <c r="L31" i="6" s="1"/>
  <c r="Q12" i="2" l="1"/>
  <c r="Q10" i="2"/>
  <c r="Q8" i="2"/>
  <c r="P12" i="2"/>
  <c r="P8" i="2"/>
  <c r="Q11" i="2"/>
  <c r="P9" i="2"/>
  <c r="Q9" i="2"/>
  <c r="Q8" i="1"/>
  <c r="P8" i="1"/>
  <c r="Q7" i="1"/>
  <c r="M9" i="6"/>
  <c r="M19" i="6" s="1"/>
  <c r="M7" i="6" s="1"/>
  <c r="M6" i="6" s="1"/>
  <c r="M20" i="6" s="1"/>
  <c r="M26" i="6" s="1"/>
  <c r="M27" i="6" s="1"/>
  <c r="M28" i="6" s="1"/>
  <c r="M29" i="6" s="1"/>
  <c r="M22" i="6" s="1"/>
  <c r="M21" i="6" s="1"/>
  <c r="M23" i="6" s="1"/>
  <c r="M24" i="6" s="1"/>
  <c r="M25" i="6" s="1"/>
  <c r="M30" i="6" s="1"/>
  <c r="M31" i="6" s="1"/>
  <c r="P11" i="2"/>
  <c r="P7" i="2"/>
  <c r="P4" i="1"/>
  <c r="P7" i="1"/>
  <c r="P6" i="1"/>
  <c r="P6" i="6"/>
  <c r="P25" i="6"/>
  <c r="P23" i="6"/>
  <c r="P22" i="6"/>
  <c r="P28" i="6"/>
  <c r="P26" i="6"/>
  <c r="P19" i="6"/>
  <c r="P18" i="6"/>
  <c r="P14" i="6"/>
  <c r="P13" i="6"/>
  <c r="P11" i="6"/>
  <c r="P12" i="6"/>
  <c r="P5" i="6"/>
  <c r="N31" i="6"/>
  <c r="N30" i="6"/>
  <c r="P24" i="6"/>
  <c r="N21" i="6"/>
  <c r="P29" i="6"/>
  <c r="N27" i="6"/>
  <c r="P20" i="6"/>
  <c r="N9" i="6"/>
  <c r="N16" i="6"/>
  <c r="N17" i="6"/>
  <c r="N15" i="6"/>
  <c r="N10" i="6"/>
  <c r="N8" i="6"/>
  <c r="N4" i="6"/>
  <c r="P27" i="6"/>
  <c r="N14" i="6"/>
  <c r="N5" i="6"/>
  <c r="P30" i="6"/>
  <c r="P16" i="6"/>
  <c r="P4" i="6"/>
  <c r="N19" i="6"/>
  <c r="N11" i="6"/>
  <c r="P21" i="6"/>
  <c r="P15" i="6"/>
  <c r="N18" i="6"/>
  <c r="N13" i="6"/>
  <c r="N12" i="6"/>
  <c r="N24" i="6"/>
  <c r="N29" i="6"/>
  <c r="N20" i="6"/>
  <c r="P31" i="6"/>
  <c r="P9" i="6"/>
  <c r="P17" i="6"/>
  <c r="P10" i="6"/>
  <c r="N25" i="6"/>
  <c r="N23" i="6"/>
  <c r="N22" i="6"/>
  <c r="N28" i="6"/>
  <c r="N26" i="6"/>
  <c r="N6" i="6"/>
  <c r="P4" i="2"/>
  <c r="J5" i="4"/>
  <c r="J6" i="4"/>
  <c r="J7" i="4"/>
  <c r="J8" i="4"/>
  <c r="J9" i="4"/>
  <c r="J10" i="4"/>
  <c r="J11" i="4"/>
  <c r="J4" i="4"/>
  <c r="J6" i="3"/>
  <c r="J5" i="3"/>
  <c r="J4" i="3"/>
  <c r="J7" i="3"/>
  <c r="Q7" i="3" s="1"/>
  <c r="R7" i="6" l="1"/>
  <c r="S7" i="6"/>
  <c r="P11" i="4"/>
  <c r="P9" i="4"/>
  <c r="P7" i="4"/>
  <c r="P5" i="4"/>
  <c r="P4" i="4"/>
  <c r="P10" i="4"/>
  <c r="P8" i="4"/>
  <c r="P6" i="4"/>
  <c r="P4" i="3"/>
  <c r="P5" i="3"/>
  <c r="P6" i="3"/>
  <c r="P7" i="3"/>
  <c r="T7" i="6" l="1"/>
  <c r="O29" i="6"/>
  <c r="O26" i="6"/>
  <c r="O28" i="6"/>
  <c r="O30" i="6"/>
  <c r="O5" i="6"/>
  <c r="O12" i="6"/>
  <c r="O14" i="6"/>
  <c r="O18" i="6"/>
  <c r="O11" i="6"/>
  <c r="O13" i="6"/>
  <c r="O19" i="6"/>
  <c r="O20" i="6"/>
  <c r="R20" i="6" s="1"/>
  <c r="O21" i="6"/>
  <c r="O24" i="6"/>
  <c r="O6" i="6"/>
  <c r="O8" i="6"/>
  <c r="O15" i="6"/>
  <c r="O16" i="6"/>
  <c r="O4" i="6"/>
  <c r="O10" i="6"/>
  <c r="O17" i="6"/>
  <c r="O9" i="6"/>
  <c r="O27" i="6"/>
  <c r="O31" i="6"/>
  <c r="O22" i="6"/>
  <c r="O23" i="6"/>
  <c r="O25" i="6"/>
  <c r="S9" i="6" l="1"/>
  <c r="R9" i="6"/>
  <c r="S10" i="6"/>
  <c r="R10" i="6"/>
  <c r="R16" i="6"/>
  <c r="S16" i="6"/>
  <c r="S8" i="6"/>
  <c r="R8" i="6"/>
  <c r="S13" i="6"/>
  <c r="R13" i="6"/>
  <c r="S18" i="6"/>
  <c r="R18" i="6"/>
  <c r="R12" i="6"/>
  <c r="S12" i="6"/>
  <c r="S20" i="6"/>
  <c r="T20" i="6" s="1"/>
  <c r="S17" i="6"/>
  <c r="R17" i="6"/>
  <c r="R15" i="6"/>
  <c r="S15" i="6"/>
  <c r="R19" i="6"/>
  <c r="S19" i="6"/>
  <c r="S11" i="6"/>
  <c r="R11" i="6"/>
  <c r="S14" i="6"/>
  <c r="R14" i="6"/>
  <c r="R5" i="6"/>
  <c r="S5" i="6"/>
  <c r="S26" i="6"/>
  <c r="R26" i="6"/>
  <c r="R4" i="6"/>
  <c r="S4" i="6"/>
  <c r="O5" i="2"/>
  <c r="O7" i="2"/>
  <c r="O9" i="2"/>
  <c r="O11" i="2"/>
  <c r="N4" i="2"/>
  <c r="N6" i="2"/>
  <c r="N8" i="2"/>
  <c r="N10" i="2"/>
  <c r="N12" i="2"/>
  <c r="O4" i="2"/>
  <c r="N5" i="2"/>
  <c r="O6" i="2"/>
  <c r="N7" i="2"/>
  <c r="O8" i="2"/>
  <c r="N9" i="2"/>
  <c r="O10" i="2"/>
  <c r="N11" i="2"/>
  <c r="O12" i="2"/>
  <c r="T14" i="6" l="1"/>
  <c r="T11" i="6"/>
  <c r="T17" i="6"/>
  <c r="T12" i="6"/>
  <c r="T16" i="6"/>
  <c r="R11" i="2"/>
  <c r="S11" i="2"/>
  <c r="R9" i="2"/>
  <c r="S9" i="2"/>
  <c r="S7" i="2"/>
  <c r="R7" i="2"/>
  <c r="S5" i="2"/>
  <c r="R5" i="2"/>
  <c r="S12" i="2"/>
  <c r="R12" i="2"/>
  <c r="S8" i="2"/>
  <c r="R8" i="2"/>
  <c r="T8" i="2" s="1"/>
  <c r="R10" i="2"/>
  <c r="S10" i="2"/>
  <c r="R6" i="2"/>
  <c r="S6" i="2"/>
  <c r="T6" i="2" s="1"/>
  <c r="T26" i="6"/>
  <c r="S27" i="6"/>
  <c r="R27" i="6"/>
  <c r="T5" i="6"/>
  <c r="T19" i="6"/>
  <c r="T15" i="6"/>
  <c r="T18" i="6"/>
  <c r="T13" i="6"/>
  <c r="T8" i="6"/>
  <c r="T10" i="6"/>
  <c r="T9" i="6"/>
  <c r="T10" i="2"/>
  <c r="T5" i="2"/>
  <c r="R4" i="2"/>
  <c r="S4" i="2"/>
  <c r="T4" i="6"/>
  <c r="A5" i="4"/>
  <c r="A6" i="4" s="1"/>
  <c r="A7" i="4" s="1"/>
  <c r="A8" i="4" s="1"/>
  <c r="A9" i="4" s="1"/>
  <c r="A10" i="4" s="1"/>
  <c r="A11" i="4" s="1"/>
  <c r="T27" i="6" l="1"/>
  <c r="S28" i="6"/>
  <c r="R28" i="6"/>
  <c r="T12" i="2"/>
  <c r="T9" i="2"/>
  <c r="T4" i="2"/>
  <c r="T7" i="2"/>
  <c r="T14" i="2" s="1"/>
  <c r="T11" i="2"/>
  <c r="N4" i="4"/>
  <c r="N5" i="4"/>
  <c r="N6" i="4"/>
  <c r="N7" i="4"/>
  <c r="N8" i="4"/>
  <c r="N9" i="4"/>
  <c r="N10" i="4"/>
  <c r="N11" i="4"/>
  <c r="O4" i="4"/>
  <c r="O5" i="4"/>
  <c r="O6" i="4"/>
  <c r="O7" i="4"/>
  <c r="O8" i="4"/>
  <c r="O9" i="4"/>
  <c r="O10" i="4"/>
  <c r="O11" i="4"/>
  <c r="T28" i="6" l="1"/>
  <c r="R29" i="6"/>
  <c r="S29" i="6"/>
  <c r="T13" i="2"/>
  <c r="A4" i="7"/>
  <c r="A5" i="7" s="1"/>
  <c r="A6" i="7" s="1"/>
  <c r="A7" i="7" s="1"/>
  <c r="A8" i="7" s="1"/>
  <c r="A9" i="7" s="1"/>
  <c r="A10" i="7" s="1"/>
  <c r="S22" i="6" l="1"/>
  <c r="R22" i="6"/>
  <c r="T29" i="6"/>
  <c r="T4" i="4"/>
  <c r="T6" i="4"/>
  <c r="T8" i="4"/>
  <c r="T10" i="4"/>
  <c r="T5" i="4"/>
  <c r="T7" i="4"/>
  <c r="T9" i="4"/>
  <c r="T11" i="4"/>
  <c r="O4" i="3"/>
  <c r="O6" i="3"/>
  <c r="N7" i="3"/>
  <c r="N5" i="3"/>
  <c r="O7" i="3"/>
  <c r="N6" i="3"/>
  <c r="O5" i="3"/>
  <c r="N4" i="3"/>
  <c r="S4" i="3" l="1"/>
  <c r="R4" i="3"/>
  <c r="S6" i="3"/>
  <c r="R6" i="3"/>
  <c r="S5" i="3"/>
  <c r="R5" i="3"/>
  <c r="T22" i="6"/>
  <c r="R21" i="6"/>
  <c r="S21" i="6"/>
  <c r="R7" i="3"/>
  <c r="S7" i="3"/>
  <c r="T12" i="4"/>
  <c r="T13" i="4"/>
  <c r="O4" i="1"/>
  <c r="K8" i="1"/>
  <c r="O7" i="1"/>
  <c r="K7" i="1"/>
  <c r="K6" i="1"/>
  <c r="O5" i="1"/>
  <c r="T7" i="3" l="1"/>
  <c r="T5" i="3"/>
  <c r="R23" i="6"/>
  <c r="S23" i="6"/>
  <c r="T21" i="6"/>
  <c r="T6" i="3"/>
  <c r="T4" i="3"/>
  <c r="O6" i="1"/>
  <c r="N6" i="1"/>
  <c r="O8" i="1"/>
  <c r="N8" i="1"/>
  <c r="N5" i="1"/>
  <c r="N7" i="1"/>
  <c r="S7" i="1" s="1"/>
  <c r="N4" i="1"/>
  <c r="S4" i="1" s="1"/>
  <c r="T23" i="6" l="1"/>
  <c r="T9" i="3"/>
  <c r="B7" i="9" s="1"/>
  <c r="T8" i="3"/>
  <c r="R8" i="1"/>
  <c r="T8" i="1" s="1"/>
  <c r="R6" i="1"/>
  <c r="R4" i="1"/>
  <c r="T4" i="1" s="1"/>
  <c r="S8" i="1"/>
  <c r="R7" i="1"/>
  <c r="S6" i="1"/>
  <c r="R24" i="6"/>
  <c r="S24" i="6"/>
  <c r="T7" i="1"/>
  <c r="T6" i="1"/>
  <c r="R5" i="1"/>
  <c r="S5" i="1"/>
  <c r="T24" i="6" l="1"/>
  <c r="R25" i="6"/>
  <c r="S25" i="6"/>
  <c r="T5" i="1"/>
  <c r="T25" i="6" l="1"/>
  <c r="S30" i="6"/>
  <c r="R30" i="6"/>
  <c r="T10" i="1"/>
  <c r="T9" i="1"/>
  <c r="T30" i="6" l="1"/>
  <c r="S6" i="6"/>
  <c r="R6" i="6"/>
  <c r="T6" i="6" l="1"/>
  <c r="S31" i="6"/>
  <c r="R31" i="6"/>
  <c r="T31" i="6" l="1"/>
  <c r="T32" i="6" l="1"/>
  <c r="T33" i="6"/>
  <c r="B3" i="9" s="1"/>
  <c r="B9" i="9" s="1"/>
</calcChain>
</file>

<file path=xl/sharedStrings.xml><?xml version="1.0" encoding="utf-8"?>
<sst xmlns="http://schemas.openxmlformats.org/spreadsheetml/2006/main" count="429" uniqueCount="199">
  <si>
    <t>جمع</t>
  </si>
  <si>
    <t>ردیف</t>
  </si>
  <si>
    <t>نام و نام خانوادگی</t>
  </si>
  <si>
    <t>مهدی حسین پور</t>
  </si>
  <si>
    <t>محمد ایراندوست</t>
  </si>
  <si>
    <t>مظفر رشوند</t>
  </si>
  <si>
    <t>مهدی بهرامی</t>
  </si>
  <si>
    <t>شهریار حسینی</t>
  </si>
  <si>
    <t>مرتضی آقایی</t>
  </si>
  <si>
    <t>حسین مهدی پور</t>
  </si>
  <si>
    <t>صمد توسلی</t>
  </si>
  <si>
    <t>حقوق پایه</t>
  </si>
  <si>
    <t>حق اولاد</t>
  </si>
  <si>
    <t>بن</t>
  </si>
  <si>
    <t>مسکن</t>
  </si>
  <si>
    <t>اضافه کار</t>
  </si>
  <si>
    <t>حق شیفت</t>
  </si>
  <si>
    <t>نگهبان</t>
  </si>
  <si>
    <t>سنوات</t>
  </si>
  <si>
    <t xml:space="preserve">نام پدر </t>
  </si>
  <si>
    <t xml:space="preserve">کد ملی </t>
  </si>
  <si>
    <t>علی لطفی جلیلوند</t>
  </si>
  <si>
    <t xml:space="preserve">حیدر </t>
  </si>
  <si>
    <t>احسان مافی مقدم</t>
  </si>
  <si>
    <t>ناصر</t>
  </si>
  <si>
    <t>سعید گودرزوند چگینی</t>
  </si>
  <si>
    <t>محمود</t>
  </si>
  <si>
    <t>غلام</t>
  </si>
  <si>
    <t xml:space="preserve">حسین غلامپور ملاطی </t>
  </si>
  <si>
    <t>صفر علی</t>
  </si>
  <si>
    <t>سلطانعلی</t>
  </si>
  <si>
    <t>احمد</t>
  </si>
  <si>
    <t>غلامرضا</t>
  </si>
  <si>
    <t>علی</t>
  </si>
  <si>
    <t>چراغعلی</t>
  </si>
  <si>
    <t>کرمعلی</t>
  </si>
  <si>
    <t>عیدی</t>
  </si>
  <si>
    <t>سرپرست کارگاه</t>
  </si>
  <si>
    <t>ساعت</t>
  </si>
  <si>
    <t>بهره بردار شبکه</t>
  </si>
  <si>
    <t>عبداله</t>
  </si>
  <si>
    <t>خسرو طاهرخانی</t>
  </si>
  <si>
    <t>نصرت اله</t>
  </si>
  <si>
    <t>راننده (واتر جت ها و وانت نیسان)</t>
  </si>
  <si>
    <t>اکبر خانی</t>
  </si>
  <si>
    <t>معراجعلی</t>
  </si>
  <si>
    <t>کارگر ( تعمیر و نگهداری)</t>
  </si>
  <si>
    <t>ولی مهرعلیان</t>
  </si>
  <si>
    <t>تقی</t>
  </si>
  <si>
    <t>عزیز مهربان</t>
  </si>
  <si>
    <t>سرایدار ایستگاه پمپاژ فاضلاب</t>
  </si>
  <si>
    <t>فرج اله جوادی</t>
  </si>
  <si>
    <t>جواد</t>
  </si>
  <si>
    <t>نگهبان تصفیه خانه فاضلاب</t>
  </si>
  <si>
    <t>ایرج جوادی</t>
  </si>
  <si>
    <t>سجاد بهمنی</t>
  </si>
  <si>
    <t>محرم</t>
  </si>
  <si>
    <t>قربانعلی</t>
  </si>
  <si>
    <t>سهرابعلی</t>
  </si>
  <si>
    <t>غفار زارعي</t>
  </si>
  <si>
    <t>ولي اله افشاري</t>
  </si>
  <si>
    <t>امير نوروزي</t>
  </si>
  <si>
    <t>کارگر حفار</t>
  </si>
  <si>
    <t>قربانعلی نقوی دورباش</t>
  </si>
  <si>
    <t>مسلم</t>
  </si>
  <si>
    <t>مصطفی بهتویی</t>
  </si>
  <si>
    <t xml:space="preserve">حسین </t>
  </si>
  <si>
    <t>سلمان زارعی</t>
  </si>
  <si>
    <t>رسول فرهنگی</t>
  </si>
  <si>
    <t>محسن مهتابی</t>
  </si>
  <si>
    <t>محمدنقی</t>
  </si>
  <si>
    <t>کارگر</t>
  </si>
  <si>
    <t>کارگر فنی</t>
  </si>
  <si>
    <t>علی رضا فرجی</t>
  </si>
  <si>
    <t>بهره بردار تصفیه خانه</t>
  </si>
  <si>
    <t>علیرضا خواجه وند</t>
  </si>
  <si>
    <t>عزیز قلی</t>
  </si>
  <si>
    <t>حمید عباسی</t>
  </si>
  <si>
    <t>رحیم</t>
  </si>
  <si>
    <t>حاجی آقا</t>
  </si>
  <si>
    <t>حجت افراشته</t>
  </si>
  <si>
    <t>رستم</t>
  </si>
  <si>
    <t>حسن</t>
  </si>
  <si>
    <t>حسین کرمی کشمرزی</t>
  </si>
  <si>
    <t>رمضان</t>
  </si>
  <si>
    <t>جواد امینی</t>
  </si>
  <si>
    <t>علی اوسط</t>
  </si>
  <si>
    <t>علی اصغر سلیمی</t>
  </si>
  <si>
    <t>حسینعلی</t>
  </si>
  <si>
    <t>اصغر</t>
  </si>
  <si>
    <t>سعید درودگران</t>
  </si>
  <si>
    <t>ابوالقاسم</t>
  </si>
  <si>
    <t>اسماعیل کاتبی</t>
  </si>
  <si>
    <t>یوسف</t>
  </si>
  <si>
    <t>0063097370</t>
  </si>
  <si>
    <t>قاسم شکوری آذر</t>
  </si>
  <si>
    <t>نقدعلی</t>
  </si>
  <si>
    <t>میثم کاظمیان فرگله ده</t>
  </si>
  <si>
    <t>ذوالفقار</t>
  </si>
  <si>
    <t>منوچهر امین قاقازانی</t>
  </si>
  <si>
    <t>احسان الله</t>
  </si>
  <si>
    <t>احمد حق نظری</t>
  </si>
  <si>
    <t>یعقوب</t>
  </si>
  <si>
    <t>هاشم چگینی</t>
  </si>
  <si>
    <t>رضا</t>
  </si>
  <si>
    <t>سرپرست</t>
  </si>
  <si>
    <t>راننده</t>
  </si>
  <si>
    <t>محل خدمت</t>
  </si>
  <si>
    <t>جایگاه</t>
  </si>
  <si>
    <t>سابقه کار
(سال)</t>
  </si>
  <si>
    <t>تعداد اولاد</t>
  </si>
  <si>
    <t>تصفیه خانه</t>
  </si>
  <si>
    <t>شبکه</t>
  </si>
  <si>
    <t>هادی نصیری</t>
  </si>
  <si>
    <t>کریم</t>
  </si>
  <si>
    <t>شبکه و تصفیه خانه</t>
  </si>
  <si>
    <t>سابقه کار</t>
  </si>
  <si>
    <t>2949664105</t>
  </si>
  <si>
    <t>نوروزعلی قربانی</t>
  </si>
  <si>
    <t>امیرقلی</t>
  </si>
  <si>
    <t>علی نجاری</t>
  </si>
  <si>
    <t>عبدالله</t>
  </si>
  <si>
    <t>عربعلی</t>
  </si>
  <si>
    <t>عزت اله حاتمی</t>
  </si>
  <si>
    <t>نعمت الله</t>
  </si>
  <si>
    <t>سرایدار تصفیه خانه</t>
  </si>
  <si>
    <t>امین اسماعیلی</t>
  </si>
  <si>
    <t>خداویردی</t>
  </si>
  <si>
    <t>تاکستان</t>
  </si>
  <si>
    <t>مصطفی قدیری</t>
  </si>
  <si>
    <t>محمدعلی</t>
  </si>
  <si>
    <t>نیکویه</t>
  </si>
  <si>
    <t>اپراتور کامپیوتر</t>
  </si>
  <si>
    <t>راننده خودرو سنگین (جنتکس)</t>
  </si>
  <si>
    <t>مامور فنی</t>
  </si>
  <si>
    <t>راننده و اپراتور واترجت ایسوزو</t>
  </si>
  <si>
    <t>راننده و اپراتور واترجت نیسان</t>
  </si>
  <si>
    <t>کارگر فنی لایروب</t>
  </si>
  <si>
    <t>کارگر شستشو و لایروب</t>
  </si>
  <si>
    <t>مهدی صفری حسین پور</t>
  </si>
  <si>
    <t>عاطفه بهرامی</t>
  </si>
  <si>
    <t>سهراب</t>
  </si>
  <si>
    <t>خدمات آزمایشگاه</t>
  </si>
  <si>
    <t>حسن جعفری کشتکدشتی</t>
  </si>
  <si>
    <t xml:space="preserve">نگهبان </t>
  </si>
  <si>
    <t>حسن اسماعیلی</t>
  </si>
  <si>
    <t>محمد حسین</t>
  </si>
  <si>
    <t>بهره بردار تصقیه خانه</t>
  </si>
  <si>
    <t>فرهاد محمودی دارانی</t>
  </si>
  <si>
    <t>انبار دار</t>
  </si>
  <si>
    <t xml:space="preserve">الهه ربیع </t>
  </si>
  <si>
    <t>اسماعیل</t>
  </si>
  <si>
    <t>محمد معصوم خانی</t>
  </si>
  <si>
    <t>عوضعلی</t>
  </si>
  <si>
    <t>تصفیه خانه بکندی</t>
  </si>
  <si>
    <t>کارشناس GIS</t>
  </si>
  <si>
    <t>قزوین</t>
  </si>
  <si>
    <t>البرز</t>
  </si>
  <si>
    <t>آبیک</t>
  </si>
  <si>
    <t>بویین زهرا</t>
  </si>
  <si>
    <t>میاینگین 12 ماهه</t>
  </si>
  <si>
    <t>میانگین 6 ماهه اول</t>
  </si>
  <si>
    <t>میانگین 6 ماهه دوم</t>
  </si>
  <si>
    <t>فهرست نیروهای شاغل در بهره برداری فاضلاب شهرستان قزوین</t>
  </si>
  <si>
    <t>شهرستان</t>
  </si>
  <si>
    <t>میانگین حقوق، عیدی و ... هر نفر
با احتساب حق شیفت و اضافه کار</t>
  </si>
  <si>
    <t>میانگین استانی</t>
  </si>
  <si>
    <t>میانگین حقوق، عیدی و ... بر اساس قانون کار 1401</t>
  </si>
  <si>
    <t>جمع کل :</t>
  </si>
  <si>
    <t>میانگین ماهیانه هر نفر :</t>
  </si>
  <si>
    <t>فهرست نیروهای شاغل در بهره برداری فاضلاب شهرستان بویین زهرا</t>
  </si>
  <si>
    <t>فهرست نیروهای شاغل در بهره برداری فاضلاب شهرستان تاکستان</t>
  </si>
  <si>
    <t>فهرست نیروهای شاغل در بهره برداری فاضلاب شهرستان آبیک</t>
  </si>
  <si>
    <t>فهرست نیروهای شاغل در بهره برداری فاضلاب شهرستان البرز</t>
  </si>
  <si>
    <t>توضیحات</t>
  </si>
  <si>
    <t>بکندی</t>
  </si>
  <si>
    <t>-</t>
  </si>
  <si>
    <t>اپراتور فنی شبکه و تصفیه خانه</t>
  </si>
  <si>
    <t>طزرکش</t>
  </si>
  <si>
    <t>شریفیه</t>
  </si>
  <si>
    <t>اپراتور فنی شبکه شهرستان البرز و تصفیه خانه شریفیه</t>
  </si>
  <si>
    <t>اپراتور فنی تصفیه خانه لجن فعال</t>
  </si>
  <si>
    <t>شهر / روستا</t>
  </si>
  <si>
    <t>شال</t>
  </si>
  <si>
    <t>آوج</t>
  </si>
  <si>
    <t>آبگرم</t>
  </si>
  <si>
    <t>اپراتور فنی شبکه و تصفیه خانه  لجن فعال</t>
  </si>
  <si>
    <t>جمع:</t>
  </si>
  <si>
    <t>پیش بینی نیروهای مورد نیاز بهره برداری از تاسیسات فاضلاب استان</t>
  </si>
  <si>
    <t>شرح نیرو</t>
  </si>
  <si>
    <t>مامور فنی (تعمیر، نگهداری، شستشو و حوادث)</t>
  </si>
  <si>
    <t>کارگر (تعمیر، نگهداری، شستشو و حوادث)</t>
  </si>
  <si>
    <t>سرپرست کارگاه، متصدی بهره برداری سیمابفا، مسئول HSE و ...</t>
  </si>
  <si>
    <t>نگهبان / سرایدار</t>
  </si>
  <si>
    <t>خدماتی</t>
  </si>
  <si>
    <t>چارت نیروهای شاغل در بهره برداری از تاسیسات فاضلاب استان</t>
  </si>
  <si>
    <t>راننده واترجت</t>
  </si>
  <si>
    <t>میانگین ماهیانه هر نفر:</t>
  </si>
  <si>
    <r>
      <t>راننده</t>
    </r>
    <r>
      <rPr>
        <sz val="14"/>
        <color rgb="FF000000"/>
        <rFont val="Calibri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</si>
</sst>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_-* #,##0.00\-;_-* &quot;-&quot;??_-;_-@_-"/>
    <numFmt numFmtId="164" formatCode="#,##0_ ;\-#,##0\ "/>
  </numFmts>
  <fonts count="23" x14ac:knownFonts="1">
    <font>
      <sz val="11"/>
      <color theme="1"/>
      <name val="Arial"/>
      <family val="2"/>
      <charset val="178"/>
      <scheme val="minor"/>
    </font>
    <font>
      <sz val="16"/>
      <color theme="1"/>
      <name val="B Nazanin"/>
      <charset val="178"/>
    </font>
    <font>
      <b/>
      <sz val="16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b/>
      <sz val="18"/>
      <color theme="1"/>
      <name val="B Titr"/>
      <charset val="178"/>
    </font>
    <font>
      <b/>
      <sz val="14"/>
      <color theme="1"/>
      <name val="B Nazanin"/>
      <charset val="178"/>
    </font>
    <font>
      <sz val="18"/>
      <color theme="1"/>
      <name val="B Nazanin"/>
      <charset val="178"/>
    </font>
    <font>
      <b/>
      <sz val="11"/>
      <color theme="1"/>
      <name val="Arial"/>
      <family val="2"/>
      <charset val="178"/>
      <scheme val="minor"/>
    </font>
    <font>
      <b/>
      <sz val="14"/>
      <color theme="1"/>
      <name val="B Titr"/>
      <charset val="178"/>
    </font>
    <font>
      <b/>
      <sz val="20"/>
      <color theme="1"/>
      <name val="B Titr"/>
      <charset val="178"/>
    </font>
    <font>
      <b/>
      <sz val="20"/>
      <color theme="1"/>
      <name val="B Nazanin"/>
      <charset val="178"/>
    </font>
    <font>
      <b/>
      <sz val="16"/>
      <color theme="1"/>
      <name val="B Mitra"/>
      <charset val="178"/>
    </font>
    <font>
      <b/>
      <sz val="12"/>
      <color theme="1"/>
      <name val="B Nazanin"/>
      <charset val="178"/>
    </font>
    <font>
      <sz val="16"/>
      <color theme="1"/>
      <name val="B Mitra"/>
      <charset val="178"/>
    </font>
    <font>
      <sz val="14"/>
      <color rgb="FF000000"/>
      <name val="B Mitra"/>
      <charset val="178"/>
    </font>
    <font>
      <sz val="14"/>
      <color rgb="FF000000"/>
      <name val="Calibri"/>
      <family val="2"/>
    </font>
    <font>
      <b/>
      <sz val="14"/>
      <color rgb="FF000000"/>
      <name val="B Mitra"/>
      <charset val="178"/>
    </font>
    <font>
      <b/>
      <sz val="12"/>
      <color rgb="FF000000"/>
      <name val="B Mitra"/>
      <charset val="178"/>
    </font>
    <font>
      <b/>
      <sz val="12"/>
      <color rgb="FF000000"/>
      <name val="B Nazanin"/>
      <charset val="178"/>
    </font>
    <font>
      <sz val="14"/>
      <color theme="1"/>
      <name val="Arial"/>
      <family val="2"/>
      <charset val="178"/>
      <scheme val="minor"/>
    </font>
    <font>
      <b/>
      <sz val="14"/>
      <color theme="1"/>
      <name val="Arial"/>
      <family val="2"/>
      <charset val="178"/>
      <scheme val="minor"/>
    </font>
    <font>
      <b/>
      <sz val="12"/>
      <color theme="1"/>
      <name val="Arial"/>
      <family val="2"/>
      <charset val="178"/>
      <scheme val="minor"/>
    </font>
    <font>
      <sz val="14"/>
      <color theme="1"/>
      <name val="B Titr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1" applyNumberFormat="1" applyFont="1" applyFill="1" applyBorder="1" applyAlignment="1">
      <alignment horizontal="right" vertical="center" indent="1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7" fillId="0" borderId="0" xfId="0" applyFont="1"/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3" fontId="1" fillId="0" borderId="0" xfId="1" applyNumberFormat="1" applyFont="1" applyFill="1" applyBorder="1" applyAlignment="1">
      <alignment horizontal="right" vertical="center" inden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horizontal="right" vertical="center" indent="1"/>
    </xf>
    <xf numFmtId="3" fontId="6" fillId="0" borderId="1" xfId="0" applyNumberFormat="1" applyFont="1" applyBorder="1" applyAlignment="1">
      <alignment horizontal="right" vertical="center" indent="8" readingOrder="2"/>
    </xf>
    <xf numFmtId="3" fontId="0" fillId="0" borderId="0" xfId="0" applyNumberFormat="1" applyAlignment="1">
      <alignment horizontal="right" vertical="center" indent="8" readingOrder="2"/>
    </xf>
    <xf numFmtId="3" fontId="10" fillId="0" borderId="1" xfId="0" applyNumberFormat="1" applyFont="1" applyBorder="1" applyAlignment="1">
      <alignment horizontal="right" vertical="center" indent="8" readingOrder="2"/>
    </xf>
    <xf numFmtId="3" fontId="11" fillId="0" borderId="1" xfId="0" applyNumberFormat="1" applyFont="1" applyBorder="1" applyAlignment="1">
      <alignment horizontal="center" readingOrder="2"/>
    </xf>
    <xf numFmtId="3" fontId="11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readingOrder="2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 readingOrder="2"/>
    </xf>
    <xf numFmtId="0" fontId="14" fillId="0" borderId="1" xfId="0" applyFont="1" applyBorder="1" applyAlignment="1">
      <alignment horizontal="right" vertical="center" wrapText="1" readingOrder="2"/>
    </xf>
    <xf numFmtId="0" fontId="14" fillId="0" borderId="1" xfId="0" applyFont="1" applyBorder="1" applyAlignment="1">
      <alignment horizontal="center" vertical="center" readingOrder="2"/>
    </xf>
    <xf numFmtId="0" fontId="14" fillId="0" borderId="1" xfId="0" applyFont="1" applyBorder="1" applyAlignment="1">
      <alignment horizontal="right" vertical="center" readingOrder="2"/>
    </xf>
    <xf numFmtId="0" fontId="14" fillId="0" borderId="11" xfId="0" applyFont="1" applyBorder="1" applyAlignment="1">
      <alignment horizontal="center" vertical="center" readingOrder="2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17" fillId="2" borderId="1" xfId="0" applyFont="1" applyFill="1" applyBorder="1" applyAlignment="1">
      <alignment horizontal="center" vertical="center" readingOrder="2"/>
    </xf>
    <xf numFmtId="0" fontId="18" fillId="2" borderId="1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right" vertical="center" readingOrder="2"/>
    </xf>
    <xf numFmtId="0" fontId="16" fillId="2" borderId="1" xfId="0" applyFont="1" applyFill="1" applyBorder="1" applyAlignment="1">
      <alignment horizontal="center" vertical="center" readingOrder="2"/>
    </xf>
    <xf numFmtId="0" fontId="16" fillId="2" borderId="10" xfId="0" applyFont="1" applyFill="1" applyBorder="1" applyAlignment="1">
      <alignment horizontal="center" vertical="center" readingOrder="2"/>
    </xf>
    <xf numFmtId="0" fontId="16" fillId="2" borderId="11" xfId="0" applyFont="1" applyFill="1" applyBorder="1" applyAlignment="1">
      <alignment horizontal="center" vertical="center" readingOrder="2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rightToLeft="1" tabSelected="1" topLeftCell="A7" workbookViewId="0">
      <selection activeCell="B13" sqref="B13"/>
    </sheetView>
  </sheetViews>
  <sheetFormatPr defaultRowHeight="39.950000000000003" customHeight="1" x14ac:dyDescent="0.25"/>
  <cols>
    <col min="1" max="1" width="7.5" style="59" customWidth="1"/>
    <col min="2" max="2" width="31.25" style="59" bestFit="1" customWidth="1"/>
    <col min="3" max="8" width="10.625" style="59" customWidth="1"/>
    <col min="9" max="9" width="10.5" style="59" customWidth="1"/>
    <col min="10" max="16384" width="9" style="59"/>
  </cols>
  <sheetData>
    <row r="1" spans="1:9" ht="39.950000000000003" customHeight="1" x14ac:dyDescent="0.25">
      <c r="A1" s="70" t="s">
        <v>195</v>
      </c>
      <c r="B1" s="70"/>
      <c r="C1" s="70"/>
      <c r="D1" s="70"/>
      <c r="E1" s="70"/>
      <c r="F1" s="70"/>
      <c r="G1" s="70"/>
      <c r="H1" s="70"/>
      <c r="I1" s="70"/>
    </row>
    <row r="2" spans="1:9" s="61" customFormat="1" ht="39.950000000000003" customHeight="1" x14ac:dyDescent="0.25">
      <c r="A2" s="62" t="s">
        <v>1</v>
      </c>
      <c r="B2" s="62" t="s">
        <v>189</v>
      </c>
      <c r="C2" s="62" t="s">
        <v>156</v>
      </c>
      <c r="D2" s="63" t="s">
        <v>157</v>
      </c>
      <c r="E2" s="63" t="s">
        <v>158</v>
      </c>
      <c r="F2" s="63" t="s">
        <v>128</v>
      </c>
      <c r="G2" s="63" t="s">
        <v>159</v>
      </c>
      <c r="H2" s="63" t="s">
        <v>184</v>
      </c>
      <c r="I2" s="62" t="s">
        <v>0</v>
      </c>
    </row>
    <row r="3" spans="1:9" ht="51.75" customHeight="1" x14ac:dyDescent="0.25">
      <c r="A3" s="54">
        <v>1</v>
      </c>
      <c r="B3" s="55" t="s">
        <v>192</v>
      </c>
      <c r="C3" s="54">
        <v>4</v>
      </c>
      <c r="D3" s="54">
        <v>1</v>
      </c>
      <c r="E3" s="54">
        <v>1</v>
      </c>
      <c r="F3" s="54">
        <v>1</v>
      </c>
      <c r="G3" s="54">
        <v>1</v>
      </c>
      <c r="H3" s="54" t="s">
        <v>176</v>
      </c>
      <c r="I3" s="54">
        <f>SUM(C3:H3)</f>
        <v>8</v>
      </c>
    </row>
    <row r="4" spans="1:9" ht="39.950000000000003" customHeight="1" x14ac:dyDescent="0.25">
      <c r="A4" s="56">
        <v>2</v>
      </c>
      <c r="B4" s="57" t="s">
        <v>198</v>
      </c>
      <c r="C4" s="56">
        <v>4</v>
      </c>
      <c r="D4" s="54">
        <v>1</v>
      </c>
      <c r="E4" s="54">
        <v>1</v>
      </c>
      <c r="F4" s="54">
        <v>1</v>
      </c>
      <c r="G4" s="54">
        <v>1</v>
      </c>
      <c r="H4" s="54" t="s">
        <v>176</v>
      </c>
      <c r="I4" s="54">
        <f t="shared" ref="I4:I9" si="0">SUM(C4:H4)</f>
        <v>8</v>
      </c>
    </row>
    <row r="5" spans="1:9" ht="39.950000000000003" customHeight="1" x14ac:dyDescent="0.25">
      <c r="A5" s="54">
        <v>3</v>
      </c>
      <c r="B5" s="57" t="s">
        <v>190</v>
      </c>
      <c r="C5" s="56">
        <v>3</v>
      </c>
      <c r="D5" s="54">
        <v>1</v>
      </c>
      <c r="E5" s="54" t="s">
        <v>176</v>
      </c>
      <c r="F5" s="54" t="s">
        <v>176</v>
      </c>
      <c r="G5" s="54" t="s">
        <v>176</v>
      </c>
      <c r="H5" s="54" t="s">
        <v>176</v>
      </c>
      <c r="I5" s="54">
        <f t="shared" si="0"/>
        <v>4</v>
      </c>
    </row>
    <row r="6" spans="1:9" ht="39.950000000000003" customHeight="1" x14ac:dyDescent="0.25">
      <c r="A6" s="56">
        <v>4</v>
      </c>
      <c r="B6" s="57" t="s">
        <v>191</v>
      </c>
      <c r="C6" s="56">
        <v>8</v>
      </c>
      <c r="D6" s="54">
        <v>4</v>
      </c>
      <c r="E6" s="54">
        <v>1</v>
      </c>
      <c r="F6" s="54">
        <v>2</v>
      </c>
      <c r="G6" s="54">
        <v>1</v>
      </c>
      <c r="H6" s="54" t="s">
        <v>176</v>
      </c>
      <c r="I6" s="54">
        <f t="shared" si="0"/>
        <v>16</v>
      </c>
    </row>
    <row r="7" spans="1:9" ht="39.950000000000003" customHeight="1" x14ac:dyDescent="0.25">
      <c r="A7" s="54">
        <v>5</v>
      </c>
      <c r="B7" s="57" t="s">
        <v>193</v>
      </c>
      <c r="C7" s="56">
        <v>7</v>
      </c>
      <c r="D7" s="54">
        <v>1</v>
      </c>
      <c r="E7" s="54">
        <v>2</v>
      </c>
      <c r="F7" s="54">
        <v>5</v>
      </c>
      <c r="G7" s="54">
        <v>1</v>
      </c>
      <c r="H7" s="54" t="s">
        <v>176</v>
      </c>
      <c r="I7" s="54">
        <f t="shared" si="0"/>
        <v>16</v>
      </c>
    </row>
    <row r="8" spans="1:9" ht="39.950000000000003" customHeight="1" x14ac:dyDescent="0.25">
      <c r="A8" s="56">
        <v>6</v>
      </c>
      <c r="B8" s="64" t="s">
        <v>149</v>
      </c>
      <c r="C8" s="56">
        <v>1</v>
      </c>
      <c r="D8" s="56" t="s">
        <v>176</v>
      </c>
      <c r="E8" s="56" t="s">
        <v>176</v>
      </c>
      <c r="F8" s="56" t="s">
        <v>176</v>
      </c>
      <c r="G8" s="56" t="s">
        <v>176</v>
      </c>
      <c r="H8" s="54" t="s">
        <v>176</v>
      </c>
      <c r="I8" s="54">
        <f t="shared" si="0"/>
        <v>1</v>
      </c>
    </row>
    <row r="9" spans="1:9" ht="39.950000000000003" customHeight="1" x14ac:dyDescent="0.25">
      <c r="A9" s="56">
        <v>7</v>
      </c>
      <c r="B9" s="64" t="s">
        <v>194</v>
      </c>
      <c r="C9" s="56">
        <v>1</v>
      </c>
      <c r="D9" s="58" t="s">
        <v>176</v>
      </c>
      <c r="E9" s="58" t="s">
        <v>176</v>
      </c>
      <c r="F9" s="58" t="s">
        <v>176</v>
      </c>
      <c r="G9" s="58" t="s">
        <v>176</v>
      </c>
      <c r="H9" s="54" t="s">
        <v>176</v>
      </c>
      <c r="I9" s="54">
        <f t="shared" si="0"/>
        <v>1</v>
      </c>
    </row>
    <row r="10" spans="1:9" s="60" customFormat="1" ht="39.950000000000003" customHeight="1" x14ac:dyDescent="0.25">
      <c r="A10" s="65">
        <v>8</v>
      </c>
      <c r="B10" s="66" t="s">
        <v>0</v>
      </c>
      <c r="C10" s="65">
        <f>SUM(C3:C9)</f>
        <v>28</v>
      </c>
      <c r="D10" s="65">
        <f t="shared" ref="D10:H10" si="1">SUM(D3:D9)</f>
        <v>8</v>
      </c>
      <c r="E10" s="65">
        <f t="shared" si="1"/>
        <v>5</v>
      </c>
      <c r="F10" s="65">
        <f t="shared" si="1"/>
        <v>9</v>
      </c>
      <c r="G10" s="65">
        <f t="shared" si="1"/>
        <v>4</v>
      </c>
      <c r="H10" s="65">
        <f t="shared" si="1"/>
        <v>0</v>
      </c>
      <c r="I10" s="67">
        <f>SUM(I3:I9)</f>
        <v>54</v>
      </c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3"/>
  <sheetViews>
    <sheetView rightToLeft="1" topLeftCell="A2" workbookViewId="0">
      <selection activeCell="E13" sqref="E13"/>
    </sheetView>
  </sheetViews>
  <sheetFormatPr defaultColWidth="12.625" defaultRowHeight="30" customHeight="1" x14ac:dyDescent="0.2"/>
  <cols>
    <col min="1" max="1" width="11.625" customWidth="1"/>
    <col min="2" max="2" width="15" customWidth="1"/>
    <col min="3" max="3" width="12.5" customWidth="1"/>
    <col min="4" max="4" width="12.25" customWidth="1"/>
    <col min="5" max="5" width="13.125" customWidth="1"/>
    <col min="6" max="6" width="42.625" customWidth="1"/>
  </cols>
  <sheetData>
    <row r="1" spans="1:6" ht="39" customHeight="1" x14ac:dyDescent="0.2">
      <c r="A1" s="71" t="s">
        <v>188</v>
      </c>
      <c r="B1" s="71"/>
      <c r="C1" s="71"/>
      <c r="D1" s="71"/>
      <c r="E1" s="71"/>
      <c r="F1" s="71"/>
    </row>
    <row r="2" spans="1:6" s="68" customFormat="1" ht="38.25" customHeight="1" x14ac:dyDescent="0.2">
      <c r="A2" s="42" t="s">
        <v>164</v>
      </c>
      <c r="B2" s="42" t="s">
        <v>182</v>
      </c>
      <c r="C2" s="42" t="s">
        <v>112</v>
      </c>
      <c r="D2" s="42" t="s">
        <v>111</v>
      </c>
      <c r="E2" s="42" t="s">
        <v>0</v>
      </c>
      <c r="F2" s="42" t="s">
        <v>174</v>
      </c>
    </row>
    <row r="3" spans="1:6" ht="30" customHeight="1" x14ac:dyDescent="0.6">
      <c r="A3" s="72" t="s">
        <v>156</v>
      </c>
      <c r="B3" s="34" t="s">
        <v>175</v>
      </c>
      <c r="C3" s="52" t="s">
        <v>176</v>
      </c>
      <c r="D3" s="53">
        <v>1</v>
      </c>
      <c r="E3" s="50">
        <f>SUM(C3:D3)</f>
        <v>1</v>
      </c>
      <c r="F3" s="51" t="s">
        <v>177</v>
      </c>
    </row>
    <row r="4" spans="1:6" ht="30" customHeight="1" x14ac:dyDescent="0.6">
      <c r="A4" s="73"/>
      <c r="B4" s="34" t="s">
        <v>178</v>
      </c>
      <c r="C4" s="52" t="s">
        <v>176</v>
      </c>
      <c r="D4" s="53">
        <v>1</v>
      </c>
      <c r="E4" s="50">
        <f>SUM(C4:D4)</f>
        <v>1</v>
      </c>
      <c r="F4" s="51" t="s">
        <v>177</v>
      </c>
    </row>
    <row r="5" spans="1:6" ht="30" customHeight="1" x14ac:dyDescent="0.6">
      <c r="A5" s="34" t="s">
        <v>157</v>
      </c>
      <c r="B5" s="34" t="s">
        <v>179</v>
      </c>
      <c r="C5" s="52">
        <v>1</v>
      </c>
      <c r="D5" s="53">
        <v>2</v>
      </c>
      <c r="E5" s="50">
        <f t="shared" ref="E5:E9" si="0">SUM(C5:D5)</f>
        <v>3</v>
      </c>
      <c r="F5" s="51" t="s">
        <v>180</v>
      </c>
    </row>
    <row r="6" spans="1:6" ht="30" customHeight="1" x14ac:dyDescent="0.6">
      <c r="A6" s="34" t="s">
        <v>158</v>
      </c>
      <c r="B6" s="34" t="s">
        <v>158</v>
      </c>
      <c r="C6" s="52" t="s">
        <v>176</v>
      </c>
      <c r="D6" s="53">
        <v>4</v>
      </c>
      <c r="E6" s="50">
        <f t="shared" si="0"/>
        <v>4</v>
      </c>
      <c r="F6" s="51" t="s">
        <v>181</v>
      </c>
    </row>
    <row r="7" spans="1:6" ht="30" customHeight="1" x14ac:dyDescent="0.6">
      <c r="A7" s="72" t="s">
        <v>128</v>
      </c>
      <c r="B7" s="34" t="s">
        <v>128</v>
      </c>
      <c r="C7" s="52">
        <v>1</v>
      </c>
      <c r="D7" s="53">
        <v>1</v>
      </c>
      <c r="E7" s="50">
        <f t="shared" si="0"/>
        <v>2</v>
      </c>
      <c r="F7" s="51" t="s">
        <v>177</v>
      </c>
    </row>
    <row r="8" spans="1:6" ht="30" customHeight="1" x14ac:dyDescent="0.6">
      <c r="A8" s="73"/>
      <c r="B8" s="34" t="s">
        <v>131</v>
      </c>
      <c r="C8" s="52" t="s">
        <v>176</v>
      </c>
      <c r="D8" s="53">
        <v>1</v>
      </c>
      <c r="E8" s="50">
        <f t="shared" si="0"/>
        <v>1</v>
      </c>
      <c r="F8" s="51" t="s">
        <v>177</v>
      </c>
    </row>
    <row r="9" spans="1:6" ht="30" customHeight="1" x14ac:dyDescent="0.6">
      <c r="A9" s="34" t="s">
        <v>159</v>
      </c>
      <c r="B9" s="34" t="s">
        <v>183</v>
      </c>
      <c r="C9" s="52">
        <v>2</v>
      </c>
      <c r="D9" s="53">
        <v>2</v>
      </c>
      <c r="E9" s="50">
        <f t="shared" si="0"/>
        <v>4</v>
      </c>
      <c r="F9" s="51" t="s">
        <v>177</v>
      </c>
    </row>
    <row r="10" spans="1:6" ht="30" customHeight="1" x14ac:dyDescent="0.6">
      <c r="A10" s="34" t="s">
        <v>184</v>
      </c>
      <c r="B10" s="34" t="s">
        <v>185</v>
      </c>
      <c r="C10" s="52">
        <v>2</v>
      </c>
      <c r="D10" s="53">
        <v>4</v>
      </c>
      <c r="E10" s="50">
        <f t="shared" ref="E10" si="1">SUM(C10:D10)</f>
        <v>6</v>
      </c>
      <c r="F10" s="51" t="s">
        <v>186</v>
      </c>
    </row>
    <row r="11" spans="1:6" s="4" customFormat="1" ht="30" customHeight="1" x14ac:dyDescent="0.6">
      <c r="A11" s="44"/>
      <c r="B11" s="69" t="s">
        <v>187</v>
      </c>
      <c r="C11" s="52">
        <f>SUM(C3:C10)</f>
        <v>6</v>
      </c>
      <c r="D11" s="52">
        <f t="shared" ref="D11:E11" si="2">SUM(D3:D10)</f>
        <v>16</v>
      </c>
      <c r="E11" s="49">
        <f t="shared" si="2"/>
        <v>22</v>
      </c>
    </row>
    <row r="13" spans="1:6" ht="30" customHeight="1" x14ac:dyDescent="0.2">
      <c r="E13" s="38"/>
    </row>
  </sheetData>
  <mergeCells count="3">
    <mergeCell ref="A1:F1"/>
    <mergeCell ref="A3:A4"/>
    <mergeCell ref="A7:A8"/>
  </mergeCells>
  <printOptions horizontalCentered="1"/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9"/>
  <sheetViews>
    <sheetView rightToLeft="1" workbookViewId="0">
      <selection activeCell="B17" sqref="B17"/>
    </sheetView>
  </sheetViews>
  <sheetFormatPr defaultRowHeight="15" x14ac:dyDescent="0.25"/>
  <cols>
    <col min="1" max="1" width="24.25" style="35" customWidth="1"/>
    <col min="2" max="2" width="46.5" customWidth="1"/>
    <col min="4" max="4" width="12.125" customWidth="1"/>
  </cols>
  <sheetData>
    <row r="1" spans="1:4" ht="40.5" x14ac:dyDescent="0.2">
      <c r="A1" s="74" t="s">
        <v>167</v>
      </c>
      <c r="B1" s="74"/>
    </row>
    <row r="2" spans="1:4" s="4" customFormat="1" ht="57" x14ac:dyDescent="0.2">
      <c r="A2" s="42" t="s">
        <v>164</v>
      </c>
      <c r="B2" s="42" t="s">
        <v>165</v>
      </c>
    </row>
    <row r="3" spans="1:4" ht="33" customHeight="1" x14ac:dyDescent="0.2">
      <c r="A3" s="34" t="s">
        <v>156</v>
      </c>
      <c r="B3" s="46">
        <f>قزوین!T33</f>
        <v>103759510.76688758</v>
      </c>
      <c r="D3" s="38"/>
    </row>
    <row r="4" spans="1:4" ht="33" customHeight="1" x14ac:dyDescent="0.2">
      <c r="A4" s="34" t="s">
        <v>157</v>
      </c>
      <c r="B4" s="46">
        <f>البرز!T13</f>
        <v>107027228.66644214</v>
      </c>
    </row>
    <row r="5" spans="1:4" ht="33" customHeight="1" x14ac:dyDescent="0.2">
      <c r="A5" s="34" t="s">
        <v>158</v>
      </c>
      <c r="B5" s="46">
        <f>آبیک!T10</f>
        <v>97730649.350306958</v>
      </c>
    </row>
    <row r="6" spans="1:4" ht="33" customHeight="1" x14ac:dyDescent="0.2">
      <c r="A6" s="34" t="s">
        <v>128</v>
      </c>
      <c r="B6" s="46">
        <f>تاکستان!T14</f>
        <v>109614767.34233238</v>
      </c>
    </row>
    <row r="7" spans="1:4" ht="33" customHeight="1" x14ac:dyDescent="0.2">
      <c r="A7" s="34" t="s">
        <v>159</v>
      </c>
      <c r="B7" s="46">
        <f>'بویین زهرا'!T9</f>
        <v>108881562.36568329</v>
      </c>
    </row>
    <row r="8" spans="1:4" x14ac:dyDescent="0.25">
      <c r="B8" s="47"/>
    </row>
    <row r="9" spans="1:4" ht="33.75" x14ac:dyDescent="0.2">
      <c r="A9" s="43" t="s">
        <v>166</v>
      </c>
      <c r="B9" s="48">
        <f>AVERAGE(B3:B7)</f>
        <v>105402743.69833048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rightToLeft="1" zoomScale="70" zoomScaleNormal="70" workbookViewId="0">
      <pane xSplit="2" ySplit="3" topLeftCell="C21" activePane="bottomRight" state="frozen"/>
      <selection pane="topRight" activeCell="C1" sqref="C1"/>
      <selection pane="bottomLeft" activeCell="A4" sqref="A4"/>
      <selection pane="bottomRight" activeCell="E31" sqref="E31"/>
    </sheetView>
  </sheetViews>
  <sheetFormatPr defaultColWidth="9.125" defaultRowHeight="24.75" x14ac:dyDescent="0.2"/>
  <cols>
    <col min="1" max="1" width="6.75" style="21" bestFit="1" customWidth="1"/>
    <col min="2" max="2" width="23.75" style="29" bestFit="1" customWidth="1"/>
    <col min="3" max="3" width="12.25" style="29" bestFit="1" customWidth="1"/>
    <col min="4" max="4" width="13.75" style="29" bestFit="1" customWidth="1"/>
    <col min="5" max="5" width="19.375" style="30" bestFit="1" customWidth="1"/>
    <col min="6" max="6" width="28.125" style="29" bestFit="1" customWidth="1"/>
    <col min="7" max="8" width="10.125" style="29" bestFit="1" customWidth="1"/>
    <col min="9" max="9" width="11.375" style="29" bestFit="1" customWidth="1"/>
    <col min="10" max="11" width="12.25" style="21" bestFit="1" customWidth="1"/>
    <col min="12" max="15" width="12.5" style="21" bestFit="1" customWidth="1"/>
    <col min="16" max="16" width="13.75" style="21" bestFit="1" customWidth="1"/>
    <col min="17" max="17" width="11.25" style="21" bestFit="1" customWidth="1"/>
    <col min="18" max="19" width="21" style="21" bestFit="1" customWidth="1"/>
    <col min="20" max="20" width="17.25" style="29" bestFit="1" customWidth="1"/>
    <col min="21" max="21" width="15.625" style="21" customWidth="1"/>
    <col min="22" max="16384" width="9.125" style="21"/>
  </cols>
  <sheetData>
    <row r="1" spans="1:20" s="23" customFormat="1" ht="36" x14ac:dyDescent="0.2">
      <c r="A1" s="75" t="s">
        <v>163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</row>
    <row r="2" spans="1:20" s="24" customFormat="1" ht="26.25" x14ac:dyDescent="0.2">
      <c r="A2" s="76" t="s">
        <v>1</v>
      </c>
      <c r="B2" s="76" t="s">
        <v>2</v>
      </c>
      <c r="C2" s="76" t="s">
        <v>19</v>
      </c>
      <c r="D2" s="76" t="s">
        <v>20</v>
      </c>
      <c r="E2" s="76" t="s">
        <v>107</v>
      </c>
      <c r="F2" s="76" t="s">
        <v>108</v>
      </c>
      <c r="G2" s="78" t="s">
        <v>109</v>
      </c>
      <c r="H2" s="78" t="s">
        <v>110</v>
      </c>
      <c r="I2" s="40" t="s">
        <v>15</v>
      </c>
      <c r="J2" s="76" t="s">
        <v>11</v>
      </c>
      <c r="K2" s="76" t="s">
        <v>12</v>
      </c>
      <c r="L2" s="76" t="s">
        <v>13</v>
      </c>
      <c r="M2" s="76" t="s">
        <v>14</v>
      </c>
      <c r="N2" s="76" t="s">
        <v>36</v>
      </c>
      <c r="O2" s="76" t="s">
        <v>18</v>
      </c>
      <c r="P2" s="79" t="s">
        <v>15</v>
      </c>
      <c r="Q2" s="85" t="s">
        <v>16</v>
      </c>
      <c r="R2" s="33" t="s">
        <v>0</v>
      </c>
      <c r="S2" s="33" t="s">
        <v>0</v>
      </c>
      <c r="T2" s="33" t="s">
        <v>0</v>
      </c>
    </row>
    <row r="3" spans="1:20" s="24" customFormat="1" ht="26.25" x14ac:dyDescent="0.2">
      <c r="A3" s="77"/>
      <c r="B3" s="77"/>
      <c r="C3" s="77"/>
      <c r="D3" s="77"/>
      <c r="E3" s="77"/>
      <c r="F3" s="77"/>
      <c r="G3" s="77"/>
      <c r="H3" s="77"/>
      <c r="I3" s="39" t="s">
        <v>38</v>
      </c>
      <c r="J3" s="77"/>
      <c r="K3" s="77"/>
      <c r="L3" s="77"/>
      <c r="M3" s="77"/>
      <c r="N3" s="77"/>
      <c r="O3" s="77"/>
      <c r="P3" s="80"/>
      <c r="Q3" s="85"/>
      <c r="R3" s="26" t="s">
        <v>161</v>
      </c>
      <c r="S3" s="26" t="s">
        <v>162</v>
      </c>
      <c r="T3" s="25" t="s">
        <v>160</v>
      </c>
    </row>
    <row r="4" spans="1:20" x14ac:dyDescent="0.2">
      <c r="A4" s="17">
        <v>1</v>
      </c>
      <c r="B4" s="27" t="s">
        <v>21</v>
      </c>
      <c r="C4" s="27" t="s">
        <v>22</v>
      </c>
      <c r="D4" s="28" t="s">
        <v>94</v>
      </c>
      <c r="E4" s="27" t="s">
        <v>39</v>
      </c>
      <c r="F4" s="27" t="s">
        <v>37</v>
      </c>
      <c r="G4" s="8">
        <v>2</v>
      </c>
      <c r="H4" s="8">
        <v>1</v>
      </c>
      <c r="I4" s="8">
        <v>80</v>
      </c>
      <c r="J4" s="7">
        <f t="shared" ref="J4:J31" si="0">IF(G4=0,26554950,0)+IF(G4=1,43897391,0)+IF(G4=2,45829377,0)+IF(G4=3,47568183,0)+IF(G4=4,49030866,0)+IF(G4=5,50120231,0)+IF(G4=6,51392432,0)+IF(G4=7,52230564,0)+IF(G4=8,53186073,0)+IF(G4=9,53745052,0)+IF(G4&gt;=10,54120691,0)</f>
        <v>45829377</v>
      </c>
      <c r="K4" s="20">
        <f t="shared" ref="K4:K31" si="1">H4*4179750</f>
        <v>4179750</v>
      </c>
      <c r="L4" s="10">
        <v>8500000</v>
      </c>
      <c r="M4" s="10">
        <v>6500000</v>
      </c>
      <c r="N4" s="10">
        <f t="shared" ref="N4:N31" si="2">(J4/12)*2</f>
        <v>7638229.5</v>
      </c>
      <c r="O4" s="10">
        <f t="shared" ref="O4:O31" si="3">J4/12</f>
        <v>3819114.75</v>
      </c>
      <c r="P4" s="10">
        <f t="shared" ref="P4:P31" si="4">I4*1.4*(J4/30)/7.33</f>
        <v>23341929.167803545</v>
      </c>
      <c r="Q4" s="8"/>
      <c r="R4" s="10">
        <f>((J4+K4+L4+M4)/30)*31+N4+O4+P4+Q4</f>
        <v>101975371.31780353</v>
      </c>
      <c r="S4" s="10">
        <f>SUM(J4:Q4)</f>
        <v>99808400.417803541</v>
      </c>
      <c r="T4" s="10">
        <f>AVERAGE(R4:S4)</f>
        <v>100891885.86780354</v>
      </c>
    </row>
    <row r="5" spans="1:20" x14ac:dyDescent="0.2">
      <c r="A5" s="17">
        <v>2</v>
      </c>
      <c r="B5" s="27" t="s">
        <v>23</v>
      </c>
      <c r="C5" s="27" t="s">
        <v>24</v>
      </c>
      <c r="D5" s="17">
        <v>4310170978</v>
      </c>
      <c r="E5" s="27" t="s">
        <v>39</v>
      </c>
      <c r="F5" s="27" t="s">
        <v>132</v>
      </c>
      <c r="G5" s="8">
        <v>2</v>
      </c>
      <c r="H5" s="8">
        <v>0</v>
      </c>
      <c r="I5" s="8">
        <v>40</v>
      </c>
      <c r="J5" s="7">
        <f t="shared" si="0"/>
        <v>45829377</v>
      </c>
      <c r="K5" s="20">
        <f t="shared" si="1"/>
        <v>0</v>
      </c>
      <c r="L5" s="10">
        <f t="shared" ref="L5:M5" si="5">L4</f>
        <v>8500000</v>
      </c>
      <c r="M5" s="10">
        <f t="shared" si="5"/>
        <v>6500000</v>
      </c>
      <c r="N5" s="10">
        <f t="shared" si="2"/>
        <v>7638229.5</v>
      </c>
      <c r="O5" s="10">
        <f t="shared" si="3"/>
        <v>3819114.75</v>
      </c>
      <c r="P5" s="10">
        <f t="shared" si="4"/>
        <v>11670964.583901772</v>
      </c>
      <c r="Q5" s="8"/>
      <c r="R5" s="10">
        <f t="shared" ref="R5:R31" si="6">((J5+K5+L5+M5)/30)*31+N5+O5+P5+Q5</f>
        <v>85985331.733901784</v>
      </c>
      <c r="S5" s="10">
        <f t="shared" ref="S5:S31" si="7">SUM(J5:Q5)</f>
        <v>83957685.833901778</v>
      </c>
      <c r="T5" s="10">
        <f t="shared" ref="T5:T31" si="8">AVERAGE(R5:S5)</f>
        <v>84971508.783901781</v>
      </c>
    </row>
    <row r="6" spans="1:20" x14ac:dyDescent="0.2">
      <c r="A6" s="17">
        <v>3</v>
      </c>
      <c r="B6" s="27" t="s">
        <v>150</v>
      </c>
      <c r="C6" s="27" t="s">
        <v>151</v>
      </c>
      <c r="D6" s="17">
        <v>386586594</v>
      </c>
      <c r="E6" s="27" t="s">
        <v>39</v>
      </c>
      <c r="F6" s="27" t="s">
        <v>155</v>
      </c>
      <c r="G6" s="8">
        <v>7</v>
      </c>
      <c r="H6" s="8">
        <v>0</v>
      </c>
      <c r="I6" s="8">
        <v>80</v>
      </c>
      <c r="J6" s="7">
        <f>IF(G6=0,26554950,0)+IF(G6=1,43897391,0)+IF(G6=2,45829377,0)+IF(G6=3,47568183,0)+IF(G6=4,49030866,0)+IF(G6=5,50120231,0)+IF(G6=6,51392432,0)+IF(G6=7,52230564,0)+IF(G6=8,53186073,0)+IF(G6=9,53745052,0)+IF(G6&gt;=10,54120691,0)</f>
        <v>52230564</v>
      </c>
      <c r="K6" s="20">
        <f>H6*4179750</f>
        <v>0</v>
      </c>
      <c r="L6" s="10">
        <f>L7</f>
        <v>8500000</v>
      </c>
      <c r="M6" s="10">
        <f>M7</f>
        <v>6500000</v>
      </c>
      <c r="N6" s="10">
        <f>(J6/12)*2</f>
        <v>8705094</v>
      </c>
      <c r="O6" s="10">
        <f>J6/12</f>
        <v>4352547</v>
      </c>
      <c r="P6" s="10">
        <f>I6*1.4*(J6/30)/7.33</f>
        <v>26602197.216916781</v>
      </c>
      <c r="Q6" s="8"/>
      <c r="R6" s="10">
        <f>((J6+K6+L6+M6)/30)*31+N6+O6+P6+Q6</f>
        <v>109131421.01691678</v>
      </c>
      <c r="S6" s="10">
        <f>SUM(J6:Q6)</f>
        <v>106890402.21691678</v>
      </c>
      <c r="T6" s="10">
        <f>AVERAGE(R6:S6)</f>
        <v>108010911.61691678</v>
      </c>
    </row>
    <row r="7" spans="1:20" ht="25.5" customHeight="1" x14ac:dyDescent="0.2">
      <c r="A7" s="17">
        <v>4</v>
      </c>
      <c r="B7" s="27" t="s">
        <v>140</v>
      </c>
      <c r="C7" s="27" t="s">
        <v>141</v>
      </c>
      <c r="D7" s="17">
        <v>5909941178</v>
      </c>
      <c r="E7" s="27" t="s">
        <v>39</v>
      </c>
      <c r="F7" s="27" t="s">
        <v>142</v>
      </c>
      <c r="G7" s="8">
        <v>1</v>
      </c>
      <c r="H7" s="8">
        <v>2</v>
      </c>
      <c r="I7" s="8">
        <v>40</v>
      </c>
      <c r="J7" s="7">
        <f>IF(G7=0,26554950,0)+IF(G7=1,43897391,0)+IF(G7=2,45829377,0)+IF(G7=3,47568183,0)+IF(G7=4,49030866,0)+IF(G7=5,50120231,0)+IF(G7=6,51392432,0)+IF(G7=7,52230564,0)+IF(G7=8,53186073,0)+IF(G7=9,53745052,0)+IF(G7&gt;=10,54120691,0)</f>
        <v>43897391</v>
      </c>
      <c r="K7" s="20">
        <f>H7*4179750</f>
        <v>8359500</v>
      </c>
      <c r="L7" s="10">
        <f>L19</f>
        <v>8500000</v>
      </c>
      <c r="M7" s="10">
        <f>M19</f>
        <v>6500000</v>
      </c>
      <c r="N7" s="10">
        <f>(J7/12)*2</f>
        <v>7316231.833333333</v>
      </c>
      <c r="O7" s="10">
        <f>J7/12</f>
        <v>3658115.9166666665</v>
      </c>
      <c r="P7" s="10">
        <f>I7*1.4*(J7/30)/7.33</f>
        <v>11178962.692132788</v>
      </c>
      <c r="Q7" s="8"/>
      <c r="R7" s="10">
        <f>((J7+K7+L7+M7)/30)*31+N7+O7+P7+Q7</f>
        <v>91652097.808799461</v>
      </c>
      <c r="S7" s="10">
        <f>SUM(J7:Q7)</f>
        <v>89410201.442132786</v>
      </c>
      <c r="T7" s="10">
        <f>AVERAGE(R7:S7)</f>
        <v>90531149.625466123</v>
      </c>
    </row>
    <row r="8" spans="1:20" x14ac:dyDescent="0.2">
      <c r="A8" s="17">
        <v>5</v>
      </c>
      <c r="B8" s="27" t="s">
        <v>25</v>
      </c>
      <c r="C8" s="27" t="s">
        <v>26</v>
      </c>
      <c r="D8" s="17">
        <v>4310011276</v>
      </c>
      <c r="E8" s="27" t="s">
        <v>39</v>
      </c>
      <c r="F8" s="27" t="s">
        <v>133</v>
      </c>
      <c r="G8" s="8">
        <v>5</v>
      </c>
      <c r="H8" s="8">
        <v>0</v>
      </c>
      <c r="I8" s="8">
        <v>40</v>
      </c>
      <c r="J8" s="7">
        <f t="shared" si="0"/>
        <v>50120231</v>
      </c>
      <c r="K8" s="20">
        <f t="shared" si="1"/>
        <v>0</v>
      </c>
      <c r="L8" s="10">
        <f>L5</f>
        <v>8500000</v>
      </c>
      <c r="M8" s="10">
        <f>M5</f>
        <v>6500000</v>
      </c>
      <c r="N8" s="10">
        <f t="shared" si="2"/>
        <v>8353371.833333333</v>
      </c>
      <c r="O8" s="10">
        <f t="shared" si="3"/>
        <v>4176685.9166666665</v>
      </c>
      <c r="P8" s="10">
        <f t="shared" si="4"/>
        <v>12763678.653933605</v>
      </c>
      <c r="Q8" s="8"/>
      <c r="R8" s="10">
        <f t="shared" si="6"/>
        <v>92584641.770600274</v>
      </c>
      <c r="S8" s="10">
        <f t="shared" si="7"/>
        <v>90413967.4039336</v>
      </c>
      <c r="T8" s="10">
        <f t="shared" si="8"/>
        <v>91499304.587266937</v>
      </c>
    </row>
    <row r="9" spans="1:20" ht="25.5" customHeight="1" x14ac:dyDescent="0.2">
      <c r="A9" s="17">
        <v>6</v>
      </c>
      <c r="B9" s="27" t="s">
        <v>90</v>
      </c>
      <c r="C9" s="27" t="s">
        <v>91</v>
      </c>
      <c r="D9" s="17">
        <v>5089888744</v>
      </c>
      <c r="E9" s="27" t="s">
        <v>39</v>
      </c>
      <c r="F9" s="27" t="s">
        <v>135</v>
      </c>
      <c r="G9" s="8">
        <v>8</v>
      </c>
      <c r="H9" s="8">
        <v>1</v>
      </c>
      <c r="I9" s="8">
        <v>40</v>
      </c>
      <c r="J9" s="7">
        <f>IF(G9=0,26554950,0)+IF(G9=1,43897391,0)+IF(G9=2,45829377,0)+IF(G9=3,47568183,0)+IF(G9=4,49030866,0)+IF(G9=5,50120231,0)+IF(G9=6,51392432,0)+IF(G9=7,52230564,0)+IF(G9=8,53186073,0)+IF(G9=9,53745052,0)+IF(G9&gt;=10,54120691,0)</f>
        <v>53186073</v>
      </c>
      <c r="K9" s="20">
        <f>H9*4179750</f>
        <v>4179750</v>
      </c>
      <c r="L9" s="10">
        <f>L18</f>
        <v>8500000</v>
      </c>
      <c r="M9" s="10">
        <f>M18</f>
        <v>6500000</v>
      </c>
      <c r="N9" s="10">
        <f>(J9/12)*2</f>
        <v>8864345.5</v>
      </c>
      <c r="O9" s="10">
        <f>J9/12</f>
        <v>4432172.75</v>
      </c>
      <c r="P9" s="10">
        <f>I9*1.4*(J9/30)/7.33</f>
        <v>13544429.686221011</v>
      </c>
      <c r="Q9" s="8"/>
      <c r="R9" s="10">
        <f>((J9+K9+L9+M9)/30)*31+N9+O9+P9+Q9</f>
        <v>101618965.03622103</v>
      </c>
      <c r="S9" s="10">
        <f>SUM(J9:Q9)</f>
        <v>99206770.936221004</v>
      </c>
      <c r="T9" s="10">
        <f>AVERAGE(R9:S9)</f>
        <v>100412867.98622102</v>
      </c>
    </row>
    <row r="10" spans="1:20" x14ac:dyDescent="0.2">
      <c r="A10" s="17">
        <v>7</v>
      </c>
      <c r="B10" s="27" t="s">
        <v>28</v>
      </c>
      <c r="C10" s="27" t="s">
        <v>29</v>
      </c>
      <c r="D10" s="17">
        <v>2721607626</v>
      </c>
      <c r="E10" s="27" t="s">
        <v>39</v>
      </c>
      <c r="F10" s="27" t="s">
        <v>135</v>
      </c>
      <c r="G10" s="8">
        <v>15</v>
      </c>
      <c r="H10" s="8">
        <v>0</v>
      </c>
      <c r="I10" s="8">
        <v>40</v>
      </c>
      <c r="J10" s="7">
        <f>IF(G10=0,26554950,0)+IF(G10=1,43897391,0)+IF(G10=2,45829377,0)+IF(G10=3,47568183,0)+IF(G10=4,49030866,0)+IF(G10=5,50120231,0)+IF(G10=6,51392432,0)+IF(G10=7,52230564,0)+IF(G10=8,53186073,0)+IF(G10=9,53745052,0)+IF(G10&gt;=10,54120691,0)</f>
        <v>54120691</v>
      </c>
      <c r="K10" s="20">
        <f>H10*4179750</f>
        <v>0</v>
      </c>
      <c r="L10" s="10">
        <f>L12</f>
        <v>8500000</v>
      </c>
      <c r="M10" s="10">
        <f>M12</f>
        <v>6500000</v>
      </c>
      <c r="N10" s="10">
        <f>(J10/12)*2</f>
        <v>9020115.166666666</v>
      </c>
      <c r="O10" s="10">
        <f>J10/12</f>
        <v>4510057.583333333</v>
      </c>
      <c r="P10" s="10">
        <f>I10*1.4*(J10/30)/7.33</f>
        <v>13782440.636653025</v>
      </c>
      <c r="Q10" s="8"/>
      <c r="R10" s="10">
        <f>((J10+K10+L10+M10)/30)*31+N10+O10+P10+Q10</f>
        <v>98737327.419986352</v>
      </c>
      <c r="S10" s="10">
        <f>SUM(J10:Q10)</f>
        <v>96433304.386653021</v>
      </c>
      <c r="T10" s="10">
        <f>AVERAGE(R10:S10)</f>
        <v>97585315.903319687</v>
      </c>
    </row>
    <row r="11" spans="1:20" x14ac:dyDescent="0.2">
      <c r="A11" s="17">
        <v>8</v>
      </c>
      <c r="B11" s="27" t="s">
        <v>6</v>
      </c>
      <c r="C11" s="27" t="s">
        <v>26</v>
      </c>
      <c r="D11" s="17">
        <v>4310550312</v>
      </c>
      <c r="E11" s="27" t="s">
        <v>39</v>
      </c>
      <c r="F11" s="27" t="s">
        <v>136</v>
      </c>
      <c r="G11" s="8">
        <v>7</v>
      </c>
      <c r="H11" s="8">
        <v>0</v>
      </c>
      <c r="I11" s="8">
        <v>40</v>
      </c>
      <c r="J11" s="7">
        <f>IF(G11=0,26554950,0)+IF(G11=1,43897391,0)+IF(G11=2,45829377,0)+IF(G11=3,47568183,0)+IF(G11=4,49030866,0)+IF(G11=5,50120231,0)+IF(G11=6,51392432,0)+IF(G11=7,52230564,0)+IF(G11=8,53186073,0)+IF(G11=9,53745052,0)+IF(G11&gt;=10,54120691,0)</f>
        <v>52230564</v>
      </c>
      <c r="K11" s="20">
        <f>H11*4179750</f>
        <v>0</v>
      </c>
      <c r="L11" s="10">
        <f>L10</f>
        <v>8500000</v>
      </c>
      <c r="M11" s="10">
        <f>M10</f>
        <v>6500000</v>
      </c>
      <c r="N11" s="10">
        <f>(J11/12)*2</f>
        <v>8705094</v>
      </c>
      <c r="O11" s="10">
        <f>J11/12</f>
        <v>4352547</v>
      </c>
      <c r="P11" s="10">
        <f>I11*1.4*(J11/30)/7.33</f>
        <v>13301098.60845839</v>
      </c>
      <c r="Q11" s="8"/>
      <c r="R11" s="10">
        <f>((J11+K11+L11+M11)/30)*31+N11+O11+P11+Q11</f>
        <v>95830322.408458382</v>
      </c>
      <c r="S11" s="10">
        <f>SUM(J11:Q11)</f>
        <v>93589303.608458385</v>
      </c>
      <c r="T11" s="10">
        <f>AVERAGE(R11:S11)</f>
        <v>94709813.008458376</v>
      </c>
    </row>
    <row r="12" spans="1:20" x14ac:dyDescent="0.2">
      <c r="A12" s="17">
        <v>9</v>
      </c>
      <c r="B12" s="27" t="s">
        <v>3</v>
      </c>
      <c r="C12" s="27" t="s">
        <v>27</v>
      </c>
      <c r="D12" s="17">
        <v>5099694527</v>
      </c>
      <c r="E12" s="27" t="s">
        <v>39</v>
      </c>
      <c r="F12" s="27" t="s">
        <v>134</v>
      </c>
      <c r="G12" s="8">
        <v>3</v>
      </c>
      <c r="H12" s="8">
        <v>2</v>
      </c>
      <c r="I12" s="8">
        <v>40</v>
      </c>
      <c r="J12" s="7">
        <f t="shared" si="0"/>
        <v>47568183</v>
      </c>
      <c r="K12" s="20">
        <f t="shared" si="1"/>
        <v>8359500</v>
      </c>
      <c r="L12" s="10">
        <f>L8</f>
        <v>8500000</v>
      </c>
      <c r="M12" s="10">
        <f>M8</f>
        <v>6500000</v>
      </c>
      <c r="N12" s="10">
        <f t="shared" si="2"/>
        <v>7928030.5</v>
      </c>
      <c r="O12" s="10">
        <f t="shared" si="3"/>
        <v>3964015.25</v>
      </c>
      <c r="P12" s="10">
        <f t="shared" si="4"/>
        <v>12113771.023192361</v>
      </c>
      <c r="Q12" s="8"/>
      <c r="R12" s="10">
        <f t="shared" si="6"/>
        <v>97297755.87319237</v>
      </c>
      <c r="S12" s="10">
        <f t="shared" si="7"/>
        <v>94933499.773192361</v>
      </c>
      <c r="T12" s="10">
        <f t="shared" si="8"/>
        <v>96115627.823192358</v>
      </c>
    </row>
    <row r="13" spans="1:20" x14ac:dyDescent="0.2">
      <c r="A13" s="17">
        <v>10</v>
      </c>
      <c r="B13" s="27" t="s">
        <v>4</v>
      </c>
      <c r="C13" s="27" t="s">
        <v>32</v>
      </c>
      <c r="D13" s="17">
        <v>5099785182</v>
      </c>
      <c r="E13" s="27" t="s">
        <v>39</v>
      </c>
      <c r="F13" s="27" t="s">
        <v>134</v>
      </c>
      <c r="G13" s="8">
        <v>5</v>
      </c>
      <c r="H13" s="8">
        <v>3</v>
      </c>
      <c r="I13" s="8">
        <v>40</v>
      </c>
      <c r="J13" s="7">
        <f>IF(G13=0,26554950,0)+IF(G13=1,43897391,0)+IF(G13=2,45829377,0)+IF(G13=3,47568183,0)+IF(G13=4,49030866,0)+IF(G13=5,50120231,0)+IF(G13=6,51392432,0)+IF(G13=7,52230564,0)+IF(G13=8,53186073,0)+IF(G13=9,53745052,0)+IF(G13&gt;=10,54120691,0)</f>
        <v>50120231</v>
      </c>
      <c r="K13" s="20">
        <f>H13*4179750</f>
        <v>12539250</v>
      </c>
      <c r="L13" s="10">
        <f>L15</f>
        <v>8500000</v>
      </c>
      <c r="M13" s="10">
        <f>M15</f>
        <v>6500000</v>
      </c>
      <c r="N13" s="10">
        <f>(J13/12)*2</f>
        <v>8353371.833333333</v>
      </c>
      <c r="O13" s="10">
        <f>J13/12</f>
        <v>4176685.9166666665</v>
      </c>
      <c r="P13" s="10">
        <f>I13*1.4*(J13/30)/7.33</f>
        <v>12763678.653933605</v>
      </c>
      <c r="Q13" s="8"/>
      <c r="R13" s="10">
        <f>((J13+K13+L13+M13)/30)*31+N13+O13+P13+Q13</f>
        <v>105541866.77060027</v>
      </c>
      <c r="S13" s="10">
        <f>SUM(J13:Q13)</f>
        <v>102953217.4039336</v>
      </c>
      <c r="T13" s="10">
        <f>AVERAGE(R13:S13)</f>
        <v>104247542.08726694</v>
      </c>
    </row>
    <row r="14" spans="1:20" x14ac:dyDescent="0.2">
      <c r="A14" s="17">
        <v>11</v>
      </c>
      <c r="B14" s="27" t="s">
        <v>5</v>
      </c>
      <c r="C14" s="27" t="s">
        <v>34</v>
      </c>
      <c r="D14" s="17">
        <v>5809669638</v>
      </c>
      <c r="E14" s="27" t="s">
        <v>39</v>
      </c>
      <c r="F14" s="27" t="s">
        <v>134</v>
      </c>
      <c r="G14" s="8">
        <v>8</v>
      </c>
      <c r="H14" s="8">
        <v>2</v>
      </c>
      <c r="I14" s="8">
        <v>40</v>
      </c>
      <c r="J14" s="7">
        <f>IF(G14=0,26554950,0)+IF(G14=1,43897391,0)+IF(G14=2,45829377,0)+IF(G14=3,47568183,0)+IF(G14=4,49030866,0)+IF(G14=5,50120231,0)+IF(G14=6,51392432,0)+IF(G14=7,52230564,0)+IF(G14=8,53186073,0)+IF(G14=9,53745052,0)+IF(G14&gt;=10,54120691,0)</f>
        <v>53186073</v>
      </c>
      <c r="K14" s="20">
        <f>H14*4179750</f>
        <v>8359500</v>
      </c>
      <c r="L14" s="10">
        <f>L17</f>
        <v>8500000</v>
      </c>
      <c r="M14" s="10">
        <f>M17</f>
        <v>6500000</v>
      </c>
      <c r="N14" s="10">
        <f>(J14/12)*2</f>
        <v>8864345.5</v>
      </c>
      <c r="O14" s="10">
        <f>J14/12</f>
        <v>4432172.75</v>
      </c>
      <c r="P14" s="10">
        <f>I14*1.4*(J14/30)/7.33</f>
        <v>13544429.686221011</v>
      </c>
      <c r="Q14" s="8"/>
      <c r="R14" s="10">
        <f>((J14+K14+L14+M14)/30)*31+N14+O14+P14+Q14</f>
        <v>105938040.03622103</v>
      </c>
      <c r="S14" s="10">
        <f>SUM(J14:Q14)</f>
        <v>103386520.936221</v>
      </c>
      <c r="T14" s="10">
        <f>AVERAGE(R14:S14)</f>
        <v>104662280.48622102</v>
      </c>
    </row>
    <row r="15" spans="1:20" x14ac:dyDescent="0.2">
      <c r="A15" s="17">
        <v>12</v>
      </c>
      <c r="B15" s="27" t="s">
        <v>10</v>
      </c>
      <c r="C15" s="27" t="s">
        <v>31</v>
      </c>
      <c r="D15" s="17">
        <v>5099826504</v>
      </c>
      <c r="E15" s="27" t="s">
        <v>39</v>
      </c>
      <c r="F15" s="27" t="s">
        <v>137</v>
      </c>
      <c r="G15" s="8">
        <v>15</v>
      </c>
      <c r="H15" s="8">
        <v>2</v>
      </c>
      <c r="I15" s="8">
        <v>40</v>
      </c>
      <c r="J15" s="7">
        <f t="shared" si="0"/>
        <v>54120691</v>
      </c>
      <c r="K15" s="20">
        <f t="shared" si="1"/>
        <v>8359500</v>
      </c>
      <c r="L15" s="10">
        <f>L11</f>
        <v>8500000</v>
      </c>
      <c r="M15" s="10">
        <f>M11</f>
        <v>6500000</v>
      </c>
      <c r="N15" s="10">
        <f t="shared" si="2"/>
        <v>9020115.166666666</v>
      </c>
      <c r="O15" s="10">
        <f t="shared" si="3"/>
        <v>4510057.583333333</v>
      </c>
      <c r="P15" s="10">
        <f t="shared" si="4"/>
        <v>13782440.636653025</v>
      </c>
      <c r="Q15" s="8"/>
      <c r="R15" s="10">
        <f t="shared" si="6"/>
        <v>107375477.41998635</v>
      </c>
      <c r="S15" s="10">
        <f t="shared" si="7"/>
        <v>104792804.38665302</v>
      </c>
      <c r="T15" s="10">
        <f t="shared" si="8"/>
        <v>106084140.90331969</v>
      </c>
    </row>
    <row r="16" spans="1:20" ht="25.5" customHeight="1" x14ac:dyDescent="0.2">
      <c r="A16" s="17">
        <v>13</v>
      </c>
      <c r="B16" s="27" t="s">
        <v>9</v>
      </c>
      <c r="C16" s="27" t="s">
        <v>35</v>
      </c>
      <c r="D16" s="17">
        <v>4323089503</v>
      </c>
      <c r="E16" s="27" t="s">
        <v>39</v>
      </c>
      <c r="F16" s="27" t="s">
        <v>138</v>
      </c>
      <c r="G16" s="8">
        <v>8</v>
      </c>
      <c r="H16" s="8">
        <v>3</v>
      </c>
      <c r="I16" s="8">
        <v>40</v>
      </c>
      <c r="J16" s="7">
        <f>IF(G16=0,26554950,0)+IF(G16=1,43897391,0)+IF(G16=2,45829377,0)+IF(G16=3,47568183,0)+IF(G16=4,49030866,0)+IF(G16=5,50120231,0)+IF(G16=6,51392432,0)+IF(G16=7,52230564,0)+IF(G16=8,53186073,0)+IF(G16=9,53745052,0)+IF(G16&gt;=10,54120691,0)</f>
        <v>53186073</v>
      </c>
      <c r="K16" s="20">
        <f>H16*4179750</f>
        <v>12539250</v>
      </c>
      <c r="L16" s="10">
        <f>L14</f>
        <v>8500000</v>
      </c>
      <c r="M16" s="10">
        <f>M14</f>
        <v>6500000</v>
      </c>
      <c r="N16" s="10">
        <f>(J16/12)*2</f>
        <v>8864345.5</v>
      </c>
      <c r="O16" s="10">
        <f>J16/12</f>
        <v>4432172.75</v>
      </c>
      <c r="P16" s="10">
        <f>I16*1.4*(J16/30)/7.33</f>
        <v>13544429.686221011</v>
      </c>
      <c r="Q16" s="8"/>
      <c r="R16" s="10">
        <f>((J16+K16+L16+M16)/30)*31+N16+O16+P16+Q16</f>
        <v>110257115.03622103</v>
      </c>
      <c r="S16" s="10">
        <f>SUM(J16:Q16)</f>
        <v>107566270.936221</v>
      </c>
      <c r="T16" s="10">
        <f>AVERAGE(R16:S16)</f>
        <v>108911692.98622102</v>
      </c>
    </row>
    <row r="17" spans="1:20" x14ac:dyDescent="0.2">
      <c r="A17" s="17">
        <v>14</v>
      </c>
      <c r="B17" s="27" t="s">
        <v>8</v>
      </c>
      <c r="C17" s="27" t="s">
        <v>33</v>
      </c>
      <c r="D17" s="17">
        <v>5949626893</v>
      </c>
      <c r="E17" s="27" t="s">
        <v>39</v>
      </c>
      <c r="F17" s="27" t="s">
        <v>62</v>
      </c>
      <c r="G17" s="8">
        <v>8</v>
      </c>
      <c r="H17" s="8">
        <v>0</v>
      </c>
      <c r="I17" s="8">
        <v>40</v>
      </c>
      <c r="J17" s="7">
        <f t="shared" si="0"/>
        <v>53186073</v>
      </c>
      <c r="K17" s="20">
        <f t="shared" si="1"/>
        <v>0</v>
      </c>
      <c r="L17" s="10">
        <f>L13</f>
        <v>8500000</v>
      </c>
      <c r="M17" s="10">
        <f>M13</f>
        <v>6500000</v>
      </c>
      <c r="N17" s="10">
        <f t="shared" si="2"/>
        <v>8864345.5</v>
      </c>
      <c r="O17" s="10">
        <f t="shared" si="3"/>
        <v>4432172.75</v>
      </c>
      <c r="P17" s="10">
        <f t="shared" si="4"/>
        <v>13544429.686221011</v>
      </c>
      <c r="Q17" s="8"/>
      <c r="R17" s="10">
        <f t="shared" si="6"/>
        <v>97299890.036221027</v>
      </c>
      <c r="S17" s="10">
        <f t="shared" si="7"/>
        <v>95027020.936221004</v>
      </c>
      <c r="T17" s="10">
        <f t="shared" si="8"/>
        <v>96163455.486221015</v>
      </c>
    </row>
    <row r="18" spans="1:20" x14ac:dyDescent="0.2">
      <c r="A18" s="17">
        <v>15</v>
      </c>
      <c r="B18" s="27" t="s">
        <v>139</v>
      </c>
      <c r="C18" s="27" t="s">
        <v>89</v>
      </c>
      <c r="D18" s="17">
        <v>4324496854</v>
      </c>
      <c r="E18" s="27" t="s">
        <v>39</v>
      </c>
      <c r="F18" s="27" t="s">
        <v>62</v>
      </c>
      <c r="G18" s="8">
        <v>15</v>
      </c>
      <c r="H18" s="8">
        <v>2</v>
      </c>
      <c r="I18" s="8">
        <v>40</v>
      </c>
      <c r="J18" s="7">
        <f t="shared" si="0"/>
        <v>54120691</v>
      </c>
      <c r="K18" s="20">
        <f t="shared" si="1"/>
        <v>8359500</v>
      </c>
      <c r="L18" s="10">
        <f>L16</f>
        <v>8500000</v>
      </c>
      <c r="M18" s="10">
        <f>M16</f>
        <v>6500000</v>
      </c>
      <c r="N18" s="10">
        <f t="shared" si="2"/>
        <v>9020115.166666666</v>
      </c>
      <c r="O18" s="10">
        <f t="shared" si="3"/>
        <v>4510057.583333333</v>
      </c>
      <c r="P18" s="10">
        <f t="shared" si="4"/>
        <v>13782440.636653025</v>
      </c>
      <c r="Q18" s="8"/>
      <c r="R18" s="10">
        <f t="shared" si="6"/>
        <v>107375477.41998635</v>
      </c>
      <c r="S18" s="10">
        <f t="shared" si="7"/>
        <v>104792804.38665302</v>
      </c>
      <c r="T18" s="10">
        <f t="shared" si="8"/>
        <v>106084140.90331969</v>
      </c>
    </row>
    <row r="19" spans="1:20" ht="25.5" customHeight="1" x14ac:dyDescent="0.2">
      <c r="A19" s="17">
        <v>16</v>
      </c>
      <c r="B19" s="27" t="s">
        <v>92</v>
      </c>
      <c r="C19" s="27" t="s">
        <v>93</v>
      </c>
      <c r="D19" s="17">
        <v>5099798713</v>
      </c>
      <c r="E19" s="27" t="s">
        <v>39</v>
      </c>
      <c r="F19" s="22" t="s">
        <v>17</v>
      </c>
      <c r="G19" s="8">
        <v>7</v>
      </c>
      <c r="H19" s="8">
        <v>3</v>
      </c>
      <c r="I19" s="8">
        <v>60</v>
      </c>
      <c r="J19" s="7">
        <f t="shared" si="0"/>
        <v>52230564</v>
      </c>
      <c r="K19" s="20">
        <f t="shared" si="1"/>
        <v>12539250</v>
      </c>
      <c r="L19" s="10">
        <f>L9</f>
        <v>8500000</v>
      </c>
      <c r="M19" s="10">
        <f>M9</f>
        <v>6500000</v>
      </c>
      <c r="N19" s="10">
        <f t="shared" si="2"/>
        <v>8705094</v>
      </c>
      <c r="O19" s="10">
        <f t="shared" si="3"/>
        <v>4352547</v>
      </c>
      <c r="P19" s="10">
        <f t="shared" si="4"/>
        <v>19951647.912687588</v>
      </c>
      <c r="Q19" s="8">
        <f>0.15*J19</f>
        <v>7834584.5999999996</v>
      </c>
      <c r="R19" s="10">
        <f t="shared" si="6"/>
        <v>123272681.31268758</v>
      </c>
      <c r="S19" s="10">
        <f t="shared" si="7"/>
        <v>120613687.51268758</v>
      </c>
      <c r="T19" s="10">
        <f t="shared" si="8"/>
        <v>121943184.41268757</v>
      </c>
    </row>
    <row r="20" spans="1:20" ht="25.5" customHeight="1" x14ac:dyDescent="0.2">
      <c r="A20" s="17">
        <v>17</v>
      </c>
      <c r="B20" s="27" t="s">
        <v>73</v>
      </c>
      <c r="C20" s="27" t="s">
        <v>31</v>
      </c>
      <c r="D20" s="17">
        <v>4322965377</v>
      </c>
      <c r="E20" s="27" t="s">
        <v>74</v>
      </c>
      <c r="F20" s="27" t="s">
        <v>37</v>
      </c>
      <c r="G20" s="8">
        <v>3</v>
      </c>
      <c r="H20" s="8">
        <v>2</v>
      </c>
      <c r="I20" s="8">
        <v>80</v>
      </c>
      <c r="J20" s="7">
        <f t="shared" si="0"/>
        <v>47568183</v>
      </c>
      <c r="K20" s="20">
        <f t="shared" si="1"/>
        <v>8359500</v>
      </c>
      <c r="L20" s="10">
        <f>L6</f>
        <v>8500000</v>
      </c>
      <c r="M20" s="10">
        <f>M6</f>
        <v>6500000</v>
      </c>
      <c r="N20" s="10">
        <f t="shared" si="2"/>
        <v>7928030.5</v>
      </c>
      <c r="O20" s="10">
        <f t="shared" si="3"/>
        <v>3964015.25</v>
      </c>
      <c r="P20" s="10">
        <f t="shared" si="4"/>
        <v>24227542.046384722</v>
      </c>
      <c r="Q20" s="8"/>
      <c r="R20" s="10">
        <f t="shared" si="6"/>
        <v>109411526.89638473</v>
      </c>
      <c r="S20" s="10">
        <f t="shared" si="7"/>
        <v>107047270.79638472</v>
      </c>
      <c r="T20" s="10">
        <f t="shared" si="8"/>
        <v>108229398.84638473</v>
      </c>
    </row>
    <row r="21" spans="1:20" ht="25.5" customHeight="1" x14ac:dyDescent="0.2">
      <c r="A21" s="17">
        <v>18</v>
      </c>
      <c r="B21" s="27" t="s">
        <v>148</v>
      </c>
      <c r="C21" s="27" t="s">
        <v>82</v>
      </c>
      <c r="D21" s="17">
        <v>3970123291</v>
      </c>
      <c r="E21" s="27" t="s">
        <v>74</v>
      </c>
      <c r="F21" s="27" t="s">
        <v>149</v>
      </c>
      <c r="G21" s="8">
        <v>4</v>
      </c>
      <c r="H21" s="8">
        <v>1</v>
      </c>
      <c r="I21" s="8">
        <v>40</v>
      </c>
      <c r="J21" s="7">
        <f>IF(G21=0,26554950,0)+IF(G21=1,43897391,0)+IF(G21=2,45829377,0)+IF(G21=3,47568183,0)+IF(G21=4,49030866,0)+IF(G21=5,50120231,0)+IF(G21=6,51392432,0)+IF(G21=7,52230564,0)+IF(G21=8,53186073,0)+IF(G21=9,53745052,0)+IF(G21&gt;=10,54120691,0)</f>
        <v>49030866</v>
      </c>
      <c r="K21" s="20">
        <f>H21*4179750</f>
        <v>4179750</v>
      </c>
      <c r="L21" s="10">
        <f>L22</f>
        <v>8500000</v>
      </c>
      <c r="M21" s="10">
        <f>M22</f>
        <v>6500000</v>
      </c>
      <c r="N21" s="10">
        <f>(J21/12)*2</f>
        <v>8171811</v>
      </c>
      <c r="O21" s="10">
        <f>J21/12</f>
        <v>4085905.5</v>
      </c>
      <c r="P21" s="10">
        <f>I21*1.4*(J21/30)/7.33</f>
        <v>12486259.645293316</v>
      </c>
      <c r="Q21" s="8"/>
      <c r="R21" s="10">
        <f>((J21+K21+L21+M21)/30)*31+N21+O21+P21+Q21</f>
        <v>95228279.345293313</v>
      </c>
      <c r="S21" s="10">
        <f>SUM(J21:Q21)</f>
        <v>92954592.14529331</v>
      </c>
      <c r="T21" s="10">
        <f>AVERAGE(R21:S21)</f>
        <v>94091435.745293319</v>
      </c>
    </row>
    <row r="22" spans="1:20" x14ac:dyDescent="0.2">
      <c r="A22" s="17">
        <v>19</v>
      </c>
      <c r="B22" s="27" t="s">
        <v>7</v>
      </c>
      <c r="C22" s="27" t="s">
        <v>30</v>
      </c>
      <c r="D22" s="17">
        <v>4324684081</v>
      </c>
      <c r="E22" s="27" t="s">
        <v>147</v>
      </c>
      <c r="F22" s="27" t="s">
        <v>72</v>
      </c>
      <c r="G22" s="8">
        <v>6</v>
      </c>
      <c r="H22" s="8">
        <v>2</v>
      </c>
      <c r="I22" s="8">
        <v>40</v>
      </c>
      <c r="J22" s="7">
        <f t="shared" si="0"/>
        <v>51392432</v>
      </c>
      <c r="K22" s="20">
        <f t="shared" si="1"/>
        <v>8359500</v>
      </c>
      <c r="L22" s="10">
        <f>L29</f>
        <v>8500000</v>
      </c>
      <c r="M22" s="10">
        <f>M29</f>
        <v>6500000</v>
      </c>
      <c r="N22" s="10">
        <f t="shared" si="2"/>
        <v>8565405.333333334</v>
      </c>
      <c r="O22" s="10">
        <f t="shared" si="3"/>
        <v>4282702.666666667</v>
      </c>
      <c r="P22" s="10">
        <f t="shared" si="4"/>
        <v>13087658.899499772</v>
      </c>
      <c r="Q22" s="8"/>
      <c r="R22" s="10">
        <f t="shared" si="6"/>
        <v>103179429.96616645</v>
      </c>
      <c r="S22" s="10">
        <f t="shared" si="7"/>
        <v>100687698.89949977</v>
      </c>
      <c r="T22" s="10">
        <f t="shared" si="8"/>
        <v>101933564.43283311</v>
      </c>
    </row>
    <row r="23" spans="1:20" ht="25.5" customHeight="1" x14ac:dyDescent="0.2">
      <c r="A23" s="17">
        <v>20</v>
      </c>
      <c r="B23" s="27" t="s">
        <v>83</v>
      </c>
      <c r="C23" s="27" t="s">
        <v>84</v>
      </c>
      <c r="D23" s="17">
        <v>5599878872</v>
      </c>
      <c r="E23" s="27" t="s">
        <v>74</v>
      </c>
      <c r="F23" s="27" t="s">
        <v>72</v>
      </c>
      <c r="G23" s="8">
        <v>10</v>
      </c>
      <c r="H23" s="8">
        <v>2</v>
      </c>
      <c r="I23" s="8">
        <v>40</v>
      </c>
      <c r="J23" s="7">
        <f t="shared" si="0"/>
        <v>54120691</v>
      </c>
      <c r="K23" s="20">
        <f t="shared" si="1"/>
        <v>8359500</v>
      </c>
      <c r="L23" s="10">
        <f>L21</f>
        <v>8500000</v>
      </c>
      <c r="M23" s="10">
        <f>M21</f>
        <v>6500000</v>
      </c>
      <c r="N23" s="10">
        <f t="shared" si="2"/>
        <v>9020115.166666666</v>
      </c>
      <c r="O23" s="10">
        <f t="shared" si="3"/>
        <v>4510057.583333333</v>
      </c>
      <c r="P23" s="10">
        <f t="shared" si="4"/>
        <v>13782440.636653025</v>
      </c>
      <c r="Q23" s="8"/>
      <c r="R23" s="10">
        <f t="shared" si="6"/>
        <v>107375477.41998635</v>
      </c>
      <c r="S23" s="10">
        <f t="shared" si="7"/>
        <v>104792804.38665302</v>
      </c>
      <c r="T23" s="10">
        <f t="shared" si="8"/>
        <v>106084140.90331969</v>
      </c>
    </row>
    <row r="24" spans="1:20" ht="25.5" customHeight="1" x14ac:dyDescent="0.2">
      <c r="A24" s="17">
        <v>21</v>
      </c>
      <c r="B24" s="27" t="s">
        <v>85</v>
      </c>
      <c r="C24" s="27" t="s">
        <v>86</v>
      </c>
      <c r="D24" s="17">
        <v>4322912362</v>
      </c>
      <c r="E24" s="27" t="s">
        <v>74</v>
      </c>
      <c r="F24" s="27" t="s">
        <v>72</v>
      </c>
      <c r="G24" s="8">
        <v>5</v>
      </c>
      <c r="H24" s="8">
        <v>1</v>
      </c>
      <c r="I24" s="8">
        <v>40</v>
      </c>
      <c r="J24" s="7">
        <f t="shared" si="0"/>
        <v>50120231</v>
      </c>
      <c r="K24" s="20">
        <f t="shared" si="1"/>
        <v>4179750</v>
      </c>
      <c r="L24" s="10">
        <f t="shared" ref="L24:L31" si="9">L23</f>
        <v>8500000</v>
      </c>
      <c r="M24" s="10">
        <f t="shared" ref="M24:M31" si="10">M23</f>
        <v>6500000</v>
      </c>
      <c r="N24" s="10">
        <f t="shared" si="2"/>
        <v>8353371.833333333</v>
      </c>
      <c r="O24" s="10">
        <f t="shared" si="3"/>
        <v>4176685.9166666665</v>
      </c>
      <c r="P24" s="10">
        <f t="shared" si="4"/>
        <v>12763678.653933605</v>
      </c>
      <c r="Q24" s="8"/>
      <c r="R24" s="10">
        <f t="shared" si="6"/>
        <v>96903716.770600274</v>
      </c>
      <c r="S24" s="10">
        <f t="shared" si="7"/>
        <v>94593717.4039336</v>
      </c>
      <c r="T24" s="10">
        <f t="shared" si="8"/>
        <v>95748717.087266937</v>
      </c>
    </row>
    <row r="25" spans="1:20" ht="25.5" customHeight="1" x14ac:dyDescent="0.2">
      <c r="A25" s="17">
        <v>22</v>
      </c>
      <c r="B25" s="27" t="s">
        <v>87</v>
      </c>
      <c r="C25" s="27" t="s">
        <v>88</v>
      </c>
      <c r="D25" s="17">
        <v>4391229870</v>
      </c>
      <c r="E25" s="27" t="s">
        <v>74</v>
      </c>
      <c r="F25" s="27" t="s">
        <v>72</v>
      </c>
      <c r="G25" s="8">
        <v>11</v>
      </c>
      <c r="H25" s="8">
        <v>3</v>
      </c>
      <c r="I25" s="8">
        <v>40</v>
      </c>
      <c r="J25" s="7">
        <f t="shared" si="0"/>
        <v>54120691</v>
      </c>
      <c r="K25" s="20">
        <f t="shared" si="1"/>
        <v>12539250</v>
      </c>
      <c r="L25" s="10">
        <f t="shared" si="9"/>
        <v>8500000</v>
      </c>
      <c r="M25" s="10">
        <f t="shared" si="10"/>
        <v>6500000</v>
      </c>
      <c r="N25" s="10">
        <f t="shared" si="2"/>
        <v>9020115.166666666</v>
      </c>
      <c r="O25" s="10">
        <f t="shared" si="3"/>
        <v>4510057.583333333</v>
      </c>
      <c r="P25" s="10">
        <f t="shared" si="4"/>
        <v>13782440.636653025</v>
      </c>
      <c r="Q25" s="8"/>
      <c r="R25" s="10">
        <f t="shared" si="6"/>
        <v>111694552.41998635</v>
      </c>
      <c r="S25" s="10">
        <f t="shared" si="7"/>
        <v>108972554.38665302</v>
      </c>
      <c r="T25" s="10">
        <f t="shared" si="8"/>
        <v>110333553.40331969</v>
      </c>
    </row>
    <row r="26" spans="1:20" ht="25.5" customHeight="1" x14ac:dyDescent="0.2">
      <c r="A26" s="17">
        <v>23</v>
      </c>
      <c r="B26" s="27" t="s">
        <v>75</v>
      </c>
      <c r="C26" s="27" t="s">
        <v>76</v>
      </c>
      <c r="D26" s="17">
        <v>4323603681</v>
      </c>
      <c r="E26" s="27" t="s">
        <v>74</v>
      </c>
      <c r="F26" s="22" t="s">
        <v>17</v>
      </c>
      <c r="G26" s="8">
        <v>5</v>
      </c>
      <c r="H26" s="8">
        <v>0</v>
      </c>
      <c r="I26" s="8">
        <v>60</v>
      </c>
      <c r="J26" s="7">
        <f>IF(G26=0,26554950,0)+IF(G26=1,43897391,0)+IF(G26=2,45829377,0)+IF(G26=3,47568183,0)+IF(G26=4,49030866,0)+IF(G26=5,50120231,0)+IF(G26=6,51392432,0)+IF(G26=7,52230564,0)+IF(G26=8,53186073,0)+IF(G26=9,53745052,0)+IF(G26&gt;=10,54120691,0)</f>
        <v>50120231</v>
      </c>
      <c r="K26" s="20">
        <f>H26*4179750</f>
        <v>0</v>
      </c>
      <c r="L26" s="10">
        <f>L20</f>
        <v>8500000</v>
      </c>
      <c r="M26" s="10">
        <f>M20</f>
        <v>6500000</v>
      </c>
      <c r="N26" s="10">
        <f>(J26/12)*2</f>
        <v>8353371.833333333</v>
      </c>
      <c r="O26" s="10">
        <f>J26/12</f>
        <v>4176685.9166666665</v>
      </c>
      <c r="P26" s="10">
        <f>I26*1.4*(J26/30)/7.33</f>
        <v>19145517.980900411</v>
      </c>
      <c r="Q26" s="8">
        <f t="shared" ref="Q26:Q29" si="11">0.15*J26</f>
        <v>7518034.6499999994</v>
      </c>
      <c r="R26" s="10">
        <f>((J26+K26+L26+M26)/30)*31+N26+O26+P26+Q26</f>
        <v>106484515.74756709</v>
      </c>
      <c r="S26" s="10">
        <f>SUM(J26:Q26)</f>
        <v>104313841.38090041</v>
      </c>
      <c r="T26" s="10">
        <f>AVERAGE(R26:S26)</f>
        <v>105399178.56423375</v>
      </c>
    </row>
    <row r="27" spans="1:20" ht="25.5" customHeight="1" x14ac:dyDescent="0.2">
      <c r="A27" s="17">
        <v>24</v>
      </c>
      <c r="B27" s="27" t="s">
        <v>77</v>
      </c>
      <c r="C27" s="27" t="s">
        <v>78</v>
      </c>
      <c r="D27" s="17">
        <v>4323594348</v>
      </c>
      <c r="E27" s="27" t="s">
        <v>74</v>
      </c>
      <c r="F27" s="22" t="s">
        <v>17</v>
      </c>
      <c r="G27" s="8">
        <v>7</v>
      </c>
      <c r="H27" s="8">
        <v>1</v>
      </c>
      <c r="I27" s="8">
        <v>60</v>
      </c>
      <c r="J27" s="7">
        <f>IF(G27=0,26554950,0)+IF(G27=1,43897391,0)+IF(G27=2,45829377,0)+IF(G27=3,47568183,0)+IF(G27=4,49030866,0)+IF(G27=5,50120231,0)+IF(G27=6,51392432,0)+IF(G27=7,52230564,0)+IF(G27=8,53186073,0)+IF(G27=9,53745052,0)+IF(G27&gt;=10,54120691,0)</f>
        <v>52230564</v>
      </c>
      <c r="K27" s="20">
        <f>H27*4179750</f>
        <v>4179750</v>
      </c>
      <c r="L27" s="10">
        <f t="shared" ref="L27:M29" si="12">L26</f>
        <v>8500000</v>
      </c>
      <c r="M27" s="10">
        <f t="shared" si="12"/>
        <v>6500000</v>
      </c>
      <c r="N27" s="10">
        <f>(J27/12)*2</f>
        <v>8705094</v>
      </c>
      <c r="O27" s="10">
        <f>J27/12</f>
        <v>4352547</v>
      </c>
      <c r="P27" s="10">
        <f>I27*1.4*(J27/30)/7.33</f>
        <v>19951647.912687588</v>
      </c>
      <c r="Q27" s="8">
        <f t="shared" si="11"/>
        <v>7834584.5999999996</v>
      </c>
      <c r="R27" s="10">
        <f>((J27+K27+L27+M27)/30)*31+N27+O27+P27+Q27</f>
        <v>114634531.31268758</v>
      </c>
      <c r="S27" s="10">
        <f>SUM(J27:Q27)</f>
        <v>112254187.51268758</v>
      </c>
      <c r="T27" s="10">
        <f>AVERAGE(R27:S27)</f>
        <v>113444359.41268757</v>
      </c>
    </row>
    <row r="28" spans="1:20" ht="25.5" customHeight="1" x14ac:dyDescent="0.2">
      <c r="A28" s="17">
        <v>25</v>
      </c>
      <c r="B28" s="27" t="s">
        <v>143</v>
      </c>
      <c r="C28" s="27" t="s">
        <v>79</v>
      </c>
      <c r="D28" s="17">
        <v>5809933653</v>
      </c>
      <c r="E28" s="27" t="s">
        <v>74</v>
      </c>
      <c r="F28" s="22" t="s">
        <v>144</v>
      </c>
      <c r="G28" s="8">
        <v>7</v>
      </c>
      <c r="H28" s="8">
        <v>2</v>
      </c>
      <c r="I28" s="8">
        <v>60</v>
      </c>
      <c r="J28" s="7">
        <f>IF(G28=0,26554950,0)+IF(G28=1,43897391,0)+IF(G28=2,45829377,0)+IF(G28=3,47568183,0)+IF(G28=4,49030866,0)+IF(G28=5,50120231,0)+IF(G28=6,51392432,0)+IF(G28=7,52230564,0)+IF(G28=8,53186073,0)+IF(G28=9,53745052,0)+IF(G28&gt;=10,54120691,0)</f>
        <v>52230564</v>
      </c>
      <c r="K28" s="20">
        <f>H28*4179750</f>
        <v>8359500</v>
      </c>
      <c r="L28" s="10">
        <f t="shared" si="12"/>
        <v>8500000</v>
      </c>
      <c r="M28" s="10">
        <f t="shared" si="12"/>
        <v>6500000</v>
      </c>
      <c r="N28" s="10">
        <f>(J28/12)*2</f>
        <v>8705094</v>
      </c>
      <c r="O28" s="10">
        <f>J28/12</f>
        <v>4352547</v>
      </c>
      <c r="P28" s="10">
        <f>I28*1.4*(J28/30)/7.33</f>
        <v>19951647.912687588</v>
      </c>
      <c r="Q28" s="8">
        <f t="shared" si="11"/>
        <v>7834584.5999999996</v>
      </c>
      <c r="R28" s="10">
        <f>((J28+K28+L28+M28)/30)*31+N28+O28+P28+Q28</f>
        <v>118953606.31268758</v>
      </c>
      <c r="S28" s="10">
        <f>SUM(J28:Q28)</f>
        <v>116433937.51268758</v>
      </c>
      <c r="T28" s="10">
        <f>AVERAGE(R28:S28)</f>
        <v>117693771.91268757</v>
      </c>
    </row>
    <row r="29" spans="1:20" ht="25.5" customHeight="1" x14ac:dyDescent="0.2">
      <c r="A29" s="17">
        <v>26</v>
      </c>
      <c r="B29" s="27" t="s">
        <v>80</v>
      </c>
      <c r="C29" s="27" t="s">
        <v>81</v>
      </c>
      <c r="D29" s="17">
        <v>5099822274</v>
      </c>
      <c r="E29" s="27" t="s">
        <v>74</v>
      </c>
      <c r="F29" s="22" t="s">
        <v>17</v>
      </c>
      <c r="G29" s="8">
        <v>7</v>
      </c>
      <c r="H29" s="8">
        <v>1</v>
      </c>
      <c r="I29" s="8">
        <v>60</v>
      </c>
      <c r="J29" s="7">
        <f>IF(G29=0,26554950,0)+IF(G29=1,43897391,0)+IF(G29=2,45829377,0)+IF(G29=3,47568183,0)+IF(G29=4,49030866,0)+IF(G29=5,50120231,0)+IF(G29=6,51392432,0)+IF(G29=7,52230564,0)+IF(G29=8,53186073,0)+IF(G29=9,53745052,0)+IF(G29&gt;=10,54120691,0)</f>
        <v>52230564</v>
      </c>
      <c r="K29" s="20">
        <f>H29*4179750</f>
        <v>4179750</v>
      </c>
      <c r="L29" s="10">
        <f t="shared" si="12"/>
        <v>8500000</v>
      </c>
      <c r="M29" s="10">
        <f t="shared" si="12"/>
        <v>6500000</v>
      </c>
      <c r="N29" s="10">
        <f>(J29/12)*2</f>
        <v>8705094</v>
      </c>
      <c r="O29" s="10">
        <f>J29/12</f>
        <v>4352547</v>
      </c>
      <c r="P29" s="10">
        <f>I29*1.4*(J29/30)/7.33</f>
        <v>19951647.912687588</v>
      </c>
      <c r="Q29" s="8">
        <f t="shared" si="11"/>
        <v>7834584.5999999996</v>
      </c>
      <c r="R29" s="10">
        <f>((J29+K29+L29+M29)/30)*31+N29+O29+P29+Q29</f>
        <v>114634531.31268758</v>
      </c>
      <c r="S29" s="10">
        <f>SUM(J29:Q29)</f>
        <v>112254187.51268758</v>
      </c>
      <c r="T29" s="10">
        <f>AVERAGE(R29:S29)</f>
        <v>113444359.41268757</v>
      </c>
    </row>
    <row r="30" spans="1:20" ht="25.5" customHeight="1" x14ac:dyDescent="0.2">
      <c r="A30" s="17">
        <v>27</v>
      </c>
      <c r="B30" s="27" t="s">
        <v>145</v>
      </c>
      <c r="C30" s="27" t="s">
        <v>146</v>
      </c>
      <c r="D30" s="17">
        <v>4324690731</v>
      </c>
      <c r="E30" s="27" t="s">
        <v>74</v>
      </c>
      <c r="F30" s="22" t="s">
        <v>17</v>
      </c>
      <c r="G30" s="8">
        <v>16</v>
      </c>
      <c r="H30" s="8">
        <v>1</v>
      </c>
      <c r="I30" s="8">
        <v>60</v>
      </c>
      <c r="J30" s="7">
        <f t="shared" si="0"/>
        <v>54120691</v>
      </c>
      <c r="K30" s="20">
        <f t="shared" si="1"/>
        <v>4179750</v>
      </c>
      <c r="L30" s="10">
        <f>L25</f>
        <v>8500000</v>
      </c>
      <c r="M30" s="10">
        <f>M25</f>
        <v>6500000</v>
      </c>
      <c r="N30" s="10">
        <f t="shared" si="2"/>
        <v>9020115.166666666</v>
      </c>
      <c r="O30" s="10">
        <f t="shared" si="3"/>
        <v>4510057.583333333</v>
      </c>
      <c r="P30" s="10">
        <f t="shared" si="4"/>
        <v>20673660.954979539</v>
      </c>
      <c r="Q30" s="8">
        <f>0.15*J30</f>
        <v>8118103.6499999994</v>
      </c>
      <c r="R30" s="10">
        <f t="shared" si="6"/>
        <v>118065726.38831288</v>
      </c>
      <c r="S30" s="10">
        <f t="shared" si="7"/>
        <v>115622378.35497954</v>
      </c>
      <c r="T30" s="10">
        <f t="shared" si="8"/>
        <v>116844052.37164621</v>
      </c>
    </row>
    <row r="31" spans="1:20" ht="25.5" customHeight="1" x14ac:dyDescent="0.2">
      <c r="A31" s="17">
        <v>28</v>
      </c>
      <c r="B31" s="27" t="s">
        <v>152</v>
      </c>
      <c r="C31" s="27" t="s">
        <v>153</v>
      </c>
      <c r="D31" s="17">
        <v>4310200532</v>
      </c>
      <c r="E31" s="27" t="s">
        <v>154</v>
      </c>
      <c r="F31" s="22" t="s">
        <v>17</v>
      </c>
      <c r="G31" s="8">
        <v>7</v>
      </c>
      <c r="H31" s="8">
        <v>0</v>
      </c>
      <c r="I31" s="8">
        <v>60</v>
      </c>
      <c r="J31" s="7">
        <f t="shared" si="0"/>
        <v>52230564</v>
      </c>
      <c r="K31" s="20">
        <f t="shared" si="1"/>
        <v>0</v>
      </c>
      <c r="L31" s="10">
        <f t="shared" si="9"/>
        <v>8500000</v>
      </c>
      <c r="M31" s="10">
        <f t="shared" si="10"/>
        <v>6500000</v>
      </c>
      <c r="N31" s="10">
        <f t="shared" si="2"/>
        <v>8705094</v>
      </c>
      <c r="O31" s="10">
        <f t="shared" si="3"/>
        <v>4352547</v>
      </c>
      <c r="P31" s="10">
        <f t="shared" si="4"/>
        <v>19951647.912687588</v>
      </c>
      <c r="Q31" s="8">
        <f t="shared" ref="Q31" si="13">0.15*J31</f>
        <v>7834584.5999999996</v>
      </c>
      <c r="R31" s="10">
        <f t="shared" si="6"/>
        <v>110315456.31268758</v>
      </c>
      <c r="S31" s="10">
        <f t="shared" si="7"/>
        <v>108074437.51268758</v>
      </c>
      <c r="T31" s="10">
        <f t="shared" si="8"/>
        <v>109194946.91268757</v>
      </c>
    </row>
    <row r="32" spans="1:20" ht="32.25" customHeight="1" x14ac:dyDescent="0.2">
      <c r="I32" s="32"/>
      <c r="P32" s="41"/>
      <c r="R32" s="81" t="s">
        <v>168</v>
      </c>
      <c r="S32" s="82"/>
      <c r="T32" s="10">
        <f>SUM(T4:T31)</f>
        <v>2905266301.4728522</v>
      </c>
    </row>
    <row r="33" spans="16:20" ht="32.25" customHeight="1" x14ac:dyDescent="0.2">
      <c r="P33" s="41"/>
      <c r="R33" s="83" t="s">
        <v>169</v>
      </c>
      <c r="S33" s="84"/>
      <c r="T33" s="45">
        <f>AVERAGE(T4:T31)</f>
        <v>103759510.76688758</v>
      </c>
    </row>
  </sheetData>
  <mergeCells count="19">
    <mergeCell ref="R32:S32"/>
    <mergeCell ref="R33:S33"/>
    <mergeCell ref="Q2:Q3"/>
    <mergeCell ref="F2:F3"/>
    <mergeCell ref="G2:G3"/>
    <mergeCell ref="A1:T1"/>
    <mergeCell ref="A2:A3"/>
    <mergeCell ref="B2:B3"/>
    <mergeCell ref="C2:C3"/>
    <mergeCell ref="D2:D3"/>
    <mergeCell ref="E2:E3"/>
    <mergeCell ref="H2:H3"/>
    <mergeCell ref="J2:J3"/>
    <mergeCell ref="K2:K3"/>
    <mergeCell ref="L2:L3"/>
    <mergeCell ref="M2:M3"/>
    <mergeCell ref="N2:N3"/>
    <mergeCell ref="O2:O3"/>
    <mergeCell ref="P2:P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rightToLeft="1" zoomScale="70" zoomScaleNormal="70" workbookViewId="0">
      <selection activeCell="A11" sqref="A11"/>
    </sheetView>
  </sheetViews>
  <sheetFormatPr defaultColWidth="9.125" defaultRowHeight="24.75" x14ac:dyDescent="0.2"/>
  <cols>
    <col min="1" max="1" width="6.75" style="1" bestFit="1" customWidth="1"/>
    <col min="2" max="2" width="19.625" style="2" bestFit="1" customWidth="1"/>
    <col min="3" max="3" width="8.875" style="2" bestFit="1" customWidth="1"/>
    <col min="4" max="4" width="13.75" style="2" bestFit="1" customWidth="1"/>
    <col min="5" max="5" width="15.25" style="13" customWidth="1"/>
    <col min="6" max="6" width="17.25" style="2" bestFit="1" customWidth="1"/>
    <col min="7" max="8" width="10.125" style="29" bestFit="1" customWidth="1"/>
    <col min="9" max="9" width="11.375" style="29" bestFit="1" customWidth="1"/>
    <col min="10" max="11" width="12.25" style="1" bestFit="1" customWidth="1"/>
    <col min="12" max="15" width="12.5" style="1" bestFit="1" customWidth="1"/>
    <col min="16" max="16" width="13.75" style="1" bestFit="1" customWidth="1"/>
    <col min="17" max="17" width="11.25" style="1" bestFit="1" customWidth="1"/>
    <col min="18" max="19" width="21" style="21" bestFit="1" customWidth="1"/>
    <col min="20" max="20" width="17.25" style="29" bestFit="1" customWidth="1"/>
    <col min="21" max="16384" width="9.125" style="1"/>
  </cols>
  <sheetData>
    <row r="1" spans="1:20" s="3" customFormat="1" ht="36" x14ac:dyDescent="0.2">
      <c r="A1" s="88" t="s">
        <v>173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20" s="4" customFormat="1" ht="26.25" x14ac:dyDescent="0.2">
      <c r="A2" s="86" t="s">
        <v>1</v>
      </c>
      <c r="B2" s="86" t="s">
        <v>2</v>
      </c>
      <c r="C2" s="86" t="s">
        <v>19</v>
      </c>
      <c r="D2" s="86" t="s">
        <v>20</v>
      </c>
      <c r="E2" s="86" t="s">
        <v>107</v>
      </c>
      <c r="F2" s="86" t="s">
        <v>108</v>
      </c>
      <c r="G2" s="78" t="s">
        <v>109</v>
      </c>
      <c r="H2" s="78" t="s">
        <v>110</v>
      </c>
      <c r="I2" s="40" t="s">
        <v>15</v>
      </c>
      <c r="J2" s="86" t="s">
        <v>11</v>
      </c>
      <c r="K2" s="86" t="s">
        <v>12</v>
      </c>
      <c r="L2" s="86" t="s">
        <v>13</v>
      </c>
      <c r="M2" s="86" t="s">
        <v>14</v>
      </c>
      <c r="N2" s="86" t="s">
        <v>36</v>
      </c>
      <c r="O2" s="86" t="s">
        <v>18</v>
      </c>
      <c r="P2" s="79" t="s">
        <v>15</v>
      </c>
      <c r="Q2" s="85" t="s">
        <v>16</v>
      </c>
      <c r="R2" s="33" t="s">
        <v>0</v>
      </c>
      <c r="S2" s="33" t="s">
        <v>0</v>
      </c>
      <c r="T2" s="33" t="s">
        <v>0</v>
      </c>
    </row>
    <row r="3" spans="1:20" s="4" customFormat="1" ht="26.25" x14ac:dyDescent="0.2">
      <c r="A3" s="87"/>
      <c r="B3" s="87"/>
      <c r="C3" s="87"/>
      <c r="D3" s="87"/>
      <c r="E3" s="87"/>
      <c r="F3" s="87"/>
      <c r="G3" s="77"/>
      <c r="H3" s="77"/>
      <c r="I3" s="39" t="s">
        <v>38</v>
      </c>
      <c r="J3" s="87"/>
      <c r="K3" s="87"/>
      <c r="L3" s="87"/>
      <c r="M3" s="87"/>
      <c r="N3" s="87"/>
      <c r="O3" s="87"/>
      <c r="P3" s="80"/>
      <c r="Q3" s="85"/>
      <c r="R3" s="26" t="s">
        <v>161</v>
      </c>
      <c r="S3" s="26" t="s">
        <v>162</v>
      </c>
      <c r="T3" s="25" t="s">
        <v>160</v>
      </c>
    </row>
    <row r="4" spans="1:20" x14ac:dyDescent="0.2">
      <c r="A4" s="9">
        <v>1</v>
      </c>
      <c r="B4" s="5" t="s">
        <v>63</v>
      </c>
      <c r="C4" s="5" t="s">
        <v>64</v>
      </c>
      <c r="D4" s="12" t="s">
        <v>117</v>
      </c>
      <c r="E4" s="5" t="s">
        <v>39</v>
      </c>
      <c r="F4" s="5" t="s">
        <v>37</v>
      </c>
      <c r="G4" s="8">
        <v>18</v>
      </c>
      <c r="H4" s="8">
        <v>1</v>
      </c>
      <c r="I4" s="8">
        <v>80</v>
      </c>
      <c r="J4" s="7">
        <f t="shared" ref="J4:J11" si="0">IF(G4=0,26554950,0)+IF(G4=1,43897391,0)+IF(G4=2,45829377,0)+IF(G4=3,47568183,0)+IF(G4=4,49030866,0)+IF(G4=5,50120231,0)+IF(G4=6,51392432,0)+IF(G4=7,52230564,0)+IF(G4=8,53186073,0)+IF(G4=9,53745052,0)+IF(G4&gt;=10,54120691,0)</f>
        <v>54120691</v>
      </c>
      <c r="K4" s="20">
        <f t="shared" ref="K4:K11" si="1">H4*4179750</f>
        <v>4179750</v>
      </c>
      <c r="L4" s="10">
        <v>8500000</v>
      </c>
      <c r="M4" s="10">
        <v>6500000</v>
      </c>
      <c r="N4" s="10">
        <f>J4*2/12</f>
        <v>9020115.166666666</v>
      </c>
      <c r="O4" s="10">
        <f>J4/12</f>
        <v>4510057.583333333</v>
      </c>
      <c r="P4" s="10">
        <f t="shared" ref="P4:P11" si="2">I4*1.4*(J4/30)/7.33</f>
        <v>27564881.273306049</v>
      </c>
      <c r="Q4" s="8"/>
      <c r="R4" s="10">
        <f>((J4+K4+L4+M4)/30)*31+N4+O4+P4+Q4</f>
        <v>116838843.05663937</v>
      </c>
      <c r="S4" s="10">
        <f>SUM(J4:Q4)</f>
        <v>114395495.02330604</v>
      </c>
      <c r="T4" s="10">
        <f>AVERAGE(R4:S4)</f>
        <v>115617169.03997271</v>
      </c>
    </row>
    <row r="5" spans="1:20" x14ac:dyDescent="0.2">
      <c r="A5" s="9">
        <f>A4+1</f>
        <v>2</v>
      </c>
      <c r="B5" s="5" t="s">
        <v>118</v>
      </c>
      <c r="C5" s="5" t="s">
        <v>119</v>
      </c>
      <c r="D5" s="9">
        <v>3781707563</v>
      </c>
      <c r="E5" s="5" t="s">
        <v>39</v>
      </c>
      <c r="F5" s="5" t="s">
        <v>196</v>
      </c>
      <c r="G5" s="8">
        <v>18</v>
      </c>
      <c r="H5" s="8">
        <v>1</v>
      </c>
      <c r="I5" s="8">
        <v>40</v>
      </c>
      <c r="J5" s="7">
        <f t="shared" si="0"/>
        <v>54120691</v>
      </c>
      <c r="K5" s="20">
        <f t="shared" si="1"/>
        <v>4179750</v>
      </c>
      <c r="L5" s="10">
        <v>8500000</v>
      </c>
      <c r="M5" s="10">
        <v>6500000</v>
      </c>
      <c r="N5" s="10">
        <f t="shared" ref="N5:N11" si="3">J5*2/12</f>
        <v>9020115.166666666</v>
      </c>
      <c r="O5" s="10">
        <f t="shared" ref="O5:O11" si="4">J5/12</f>
        <v>4510057.583333333</v>
      </c>
      <c r="P5" s="10">
        <f t="shared" si="2"/>
        <v>13782440.636653025</v>
      </c>
      <c r="Q5" s="8"/>
      <c r="R5" s="10">
        <f t="shared" ref="R5:R11" si="5">((J5+K5+L5+M5)/30)*31+N5+O5+P5+Q5</f>
        <v>103056402.41998635</v>
      </c>
      <c r="S5" s="10">
        <f t="shared" ref="S5:S11" si="6">SUM(J5:Q5)</f>
        <v>100613054.38665302</v>
      </c>
      <c r="T5" s="10">
        <f t="shared" ref="T5:T11" si="7">AVERAGE(R5:S5)</f>
        <v>101834728.40331969</v>
      </c>
    </row>
    <row r="6" spans="1:20" x14ac:dyDescent="0.2">
      <c r="A6" s="9">
        <f t="shared" ref="A6:A11" si="8">A5+1</f>
        <v>3</v>
      </c>
      <c r="B6" s="5" t="s">
        <v>67</v>
      </c>
      <c r="C6" s="5" t="s">
        <v>26</v>
      </c>
      <c r="D6" s="9">
        <v>5099851691</v>
      </c>
      <c r="E6" s="5" t="s">
        <v>39</v>
      </c>
      <c r="F6" s="5" t="s">
        <v>134</v>
      </c>
      <c r="G6" s="8">
        <v>12</v>
      </c>
      <c r="H6" s="8">
        <v>1</v>
      </c>
      <c r="I6" s="8">
        <v>40</v>
      </c>
      <c r="J6" s="7">
        <f t="shared" si="0"/>
        <v>54120691</v>
      </c>
      <c r="K6" s="20">
        <f t="shared" si="1"/>
        <v>4179750</v>
      </c>
      <c r="L6" s="10">
        <v>8500000</v>
      </c>
      <c r="M6" s="10">
        <v>6500000</v>
      </c>
      <c r="N6" s="10">
        <f t="shared" si="3"/>
        <v>9020115.166666666</v>
      </c>
      <c r="O6" s="10">
        <f t="shared" si="4"/>
        <v>4510057.583333333</v>
      </c>
      <c r="P6" s="10">
        <f t="shared" si="2"/>
        <v>13782440.636653025</v>
      </c>
      <c r="Q6" s="8"/>
      <c r="R6" s="10">
        <f t="shared" si="5"/>
        <v>103056402.41998635</v>
      </c>
      <c r="S6" s="10">
        <f t="shared" si="6"/>
        <v>100613054.38665302</v>
      </c>
      <c r="T6" s="10">
        <f t="shared" si="7"/>
        <v>101834728.40331969</v>
      </c>
    </row>
    <row r="7" spans="1:20" x14ac:dyDescent="0.2">
      <c r="A7" s="9">
        <f t="shared" si="8"/>
        <v>4</v>
      </c>
      <c r="B7" s="5" t="s">
        <v>69</v>
      </c>
      <c r="C7" s="5" t="s">
        <v>70</v>
      </c>
      <c r="D7" s="9">
        <v>2948756626</v>
      </c>
      <c r="E7" s="5" t="s">
        <v>39</v>
      </c>
      <c r="F7" s="5" t="s">
        <v>71</v>
      </c>
      <c r="G7" s="8">
        <v>11</v>
      </c>
      <c r="H7" s="8">
        <v>2</v>
      </c>
      <c r="I7" s="8">
        <v>40</v>
      </c>
      <c r="J7" s="7">
        <f t="shared" si="0"/>
        <v>54120691</v>
      </c>
      <c r="K7" s="20">
        <f t="shared" si="1"/>
        <v>8359500</v>
      </c>
      <c r="L7" s="10">
        <v>8500000</v>
      </c>
      <c r="M7" s="10">
        <v>6500000</v>
      </c>
      <c r="N7" s="10">
        <f t="shared" si="3"/>
        <v>9020115.166666666</v>
      </c>
      <c r="O7" s="10">
        <f t="shared" si="4"/>
        <v>4510057.583333333</v>
      </c>
      <c r="P7" s="10">
        <f t="shared" si="2"/>
        <v>13782440.636653025</v>
      </c>
      <c r="Q7" s="8"/>
      <c r="R7" s="10">
        <f t="shared" si="5"/>
        <v>107375477.41998635</v>
      </c>
      <c r="S7" s="10">
        <f t="shared" si="6"/>
        <v>104792804.38665302</v>
      </c>
      <c r="T7" s="10">
        <f t="shared" si="7"/>
        <v>106084140.90331969</v>
      </c>
    </row>
    <row r="8" spans="1:20" x14ac:dyDescent="0.2">
      <c r="A8" s="9">
        <f t="shared" si="8"/>
        <v>5</v>
      </c>
      <c r="B8" s="5" t="s">
        <v>120</v>
      </c>
      <c r="C8" s="5" t="s">
        <v>121</v>
      </c>
      <c r="D8" s="9">
        <v>2949676391</v>
      </c>
      <c r="E8" s="5" t="s">
        <v>39</v>
      </c>
      <c r="F8" s="5" t="s">
        <v>71</v>
      </c>
      <c r="G8" s="8">
        <v>12</v>
      </c>
      <c r="H8" s="8">
        <v>3</v>
      </c>
      <c r="I8" s="8">
        <v>40</v>
      </c>
      <c r="J8" s="7">
        <f t="shared" si="0"/>
        <v>54120691</v>
      </c>
      <c r="K8" s="20">
        <f t="shared" si="1"/>
        <v>12539250</v>
      </c>
      <c r="L8" s="10">
        <v>8500000</v>
      </c>
      <c r="M8" s="10">
        <v>6500000</v>
      </c>
      <c r="N8" s="10">
        <f t="shared" si="3"/>
        <v>9020115.166666666</v>
      </c>
      <c r="O8" s="10">
        <f t="shared" si="4"/>
        <v>4510057.583333333</v>
      </c>
      <c r="P8" s="10">
        <f t="shared" si="2"/>
        <v>13782440.636653025</v>
      </c>
      <c r="Q8" s="8"/>
      <c r="R8" s="10">
        <f t="shared" si="5"/>
        <v>111694552.41998635</v>
      </c>
      <c r="S8" s="10">
        <f t="shared" si="6"/>
        <v>108972554.38665302</v>
      </c>
      <c r="T8" s="10">
        <f t="shared" si="7"/>
        <v>110333553.40331969</v>
      </c>
    </row>
    <row r="9" spans="1:20" x14ac:dyDescent="0.2">
      <c r="A9" s="9">
        <f t="shared" si="8"/>
        <v>6</v>
      </c>
      <c r="B9" s="5" t="s">
        <v>68</v>
      </c>
      <c r="C9" s="5" t="s">
        <v>122</v>
      </c>
      <c r="D9" s="9">
        <v>2949664024</v>
      </c>
      <c r="E9" s="5" t="s">
        <v>39</v>
      </c>
      <c r="F9" s="5" t="s">
        <v>71</v>
      </c>
      <c r="G9" s="8">
        <v>11</v>
      </c>
      <c r="H9" s="8">
        <v>2</v>
      </c>
      <c r="I9" s="8">
        <v>40</v>
      </c>
      <c r="J9" s="7">
        <f t="shared" si="0"/>
        <v>54120691</v>
      </c>
      <c r="K9" s="20">
        <f t="shared" si="1"/>
        <v>8359500</v>
      </c>
      <c r="L9" s="10">
        <v>8500000</v>
      </c>
      <c r="M9" s="10">
        <v>6500000</v>
      </c>
      <c r="N9" s="10">
        <f t="shared" si="3"/>
        <v>9020115.166666666</v>
      </c>
      <c r="O9" s="10">
        <f t="shared" si="4"/>
        <v>4510057.583333333</v>
      </c>
      <c r="P9" s="10">
        <f t="shared" si="2"/>
        <v>13782440.636653025</v>
      </c>
      <c r="Q9" s="8"/>
      <c r="R9" s="10">
        <f t="shared" si="5"/>
        <v>107375477.41998635</v>
      </c>
      <c r="S9" s="10">
        <f t="shared" si="6"/>
        <v>104792804.38665302</v>
      </c>
      <c r="T9" s="10">
        <f t="shared" si="7"/>
        <v>106084140.90331969</v>
      </c>
    </row>
    <row r="10" spans="1:20" x14ac:dyDescent="0.2">
      <c r="A10" s="9">
        <f t="shared" si="8"/>
        <v>7</v>
      </c>
      <c r="B10" s="5" t="s">
        <v>123</v>
      </c>
      <c r="C10" s="5" t="s">
        <v>124</v>
      </c>
      <c r="D10" s="9">
        <v>3369511924</v>
      </c>
      <c r="E10" s="5" t="s">
        <v>39</v>
      </c>
      <c r="F10" s="5" t="s">
        <v>71</v>
      </c>
      <c r="G10" s="8">
        <v>11</v>
      </c>
      <c r="H10" s="8">
        <v>0</v>
      </c>
      <c r="I10" s="8">
        <v>40</v>
      </c>
      <c r="J10" s="7">
        <f t="shared" si="0"/>
        <v>54120691</v>
      </c>
      <c r="K10" s="20">
        <f t="shared" si="1"/>
        <v>0</v>
      </c>
      <c r="L10" s="10">
        <v>8500000</v>
      </c>
      <c r="M10" s="10">
        <v>6500000</v>
      </c>
      <c r="N10" s="10">
        <f t="shared" si="3"/>
        <v>9020115.166666666</v>
      </c>
      <c r="O10" s="10">
        <f t="shared" si="4"/>
        <v>4510057.583333333</v>
      </c>
      <c r="P10" s="10">
        <f t="shared" si="2"/>
        <v>13782440.636653025</v>
      </c>
      <c r="Q10" s="8"/>
      <c r="R10" s="10">
        <f t="shared" si="5"/>
        <v>98737327.419986352</v>
      </c>
      <c r="S10" s="10">
        <f t="shared" si="6"/>
        <v>96433304.386653021</v>
      </c>
      <c r="T10" s="10">
        <f t="shared" si="7"/>
        <v>97585315.903319687</v>
      </c>
    </row>
    <row r="11" spans="1:20" x14ac:dyDescent="0.2">
      <c r="A11" s="9">
        <f t="shared" si="8"/>
        <v>8</v>
      </c>
      <c r="B11" s="5" t="s">
        <v>65</v>
      </c>
      <c r="C11" s="5" t="s">
        <v>66</v>
      </c>
      <c r="D11" s="9">
        <v>1518744644</v>
      </c>
      <c r="E11" s="5" t="s">
        <v>39</v>
      </c>
      <c r="F11" s="22" t="s">
        <v>125</v>
      </c>
      <c r="G11" s="8">
        <v>11</v>
      </c>
      <c r="H11" s="8">
        <v>1</v>
      </c>
      <c r="I11" s="8">
        <v>60</v>
      </c>
      <c r="J11" s="7">
        <f t="shared" si="0"/>
        <v>54120691</v>
      </c>
      <c r="K11" s="20">
        <f t="shared" si="1"/>
        <v>4179750</v>
      </c>
      <c r="L11" s="10">
        <v>8500000</v>
      </c>
      <c r="M11" s="10">
        <v>6500000</v>
      </c>
      <c r="N11" s="10">
        <f t="shared" si="3"/>
        <v>9020115.166666666</v>
      </c>
      <c r="O11" s="10">
        <f t="shared" si="4"/>
        <v>4510057.583333333</v>
      </c>
      <c r="P11" s="10">
        <f t="shared" si="2"/>
        <v>20673660.954979539</v>
      </c>
      <c r="Q11" s="8">
        <f>0.15*J11</f>
        <v>8118103.6499999994</v>
      </c>
      <c r="R11" s="10">
        <f t="shared" si="5"/>
        <v>118065726.38831288</v>
      </c>
      <c r="S11" s="10">
        <f t="shared" si="6"/>
        <v>115622378.35497954</v>
      </c>
      <c r="T11" s="10">
        <f t="shared" si="7"/>
        <v>116844052.37164621</v>
      </c>
    </row>
    <row r="12" spans="1:20" ht="26.25" x14ac:dyDescent="0.2">
      <c r="I12" s="32"/>
      <c r="R12" s="81" t="s">
        <v>168</v>
      </c>
      <c r="S12" s="82"/>
      <c r="T12" s="10">
        <f>SUM(T4:T11)</f>
        <v>856217829.33153713</v>
      </c>
    </row>
    <row r="13" spans="1:20" ht="26.25" x14ac:dyDescent="0.2">
      <c r="R13" s="83" t="s">
        <v>197</v>
      </c>
      <c r="S13" s="84"/>
      <c r="T13" s="45">
        <f>AVERAGE(T4:T11)</f>
        <v>107027228.66644214</v>
      </c>
    </row>
    <row r="15" spans="1:20" x14ac:dyDescent="0.2">
      <c r="R15" s="31"/>
      <c r="S15" s="31"/>
      <c r="T15" s="32"/>
    </row>
  </sheetData>
  <mergeCells count="19">
    <mergeCell ref="A1:S1"/>
    <mergeCell ref="F2:F3"/>
    <mergeCell ref="G2:G3"/>
    <mergeCell ref="H2:H3"/>
    <mergeCell ref="J2:J3"/>
    <mergeCell ref="K2:K3"/>
    <mergeCell ref="A2:A3"/>
    <mergeCell ref="B2:B3"/>
    <mergeCell ref="C2:C3"/>
    <mergeCell ref="D2:D3"/>
    <mergeCell ref="E2:E3"/>
    <mergeCell ref="O2:O3"/>
    <mergeCell ref="P2:P3"/>
    <mergeCell ref="Q2:Q3"/>
    <mergeCell ref="L2:L3"/>
    <mergeCell ref="M2:M3"/>
    <mergeCell ref="R12:S12"/>
    <mergeCell ref="R13:S13"/>
    <mergeCell ref="N2:N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rightToLeft="1" zoomScale="80" zoomScaleNormal="80" workbookViewId="0">
      <selection activeCell="F10" sqref="F10"/>
    </sheetView>
  </sheetViews>
  <sheetFormatPr defaultColWidth="9.125" defaultRowHeight="24.75" x14ac:dyDescent="0.2"/>
  <cols>
    <col min="1" max="1" width="6.25" style="1" bestFit="1" customWidth="1"/>
    <col min="2" max="2" width="20" style="2" bestFit="1" customWidth="1"/>
    <col min="3" max="3" width="9.25" style="2" bestFit="1" customWidth="1"/>
    <col min="4" max="4" width="13.75" style="2" bestFit="1" customWidth="1"/>
    <col min="5" max="5" width="12.125" style="13" bestFit="1" customWidth="1"/>
    <col min="6" max="6" width="8.375" style="2" bestFit="1" customWidth="1"/>
    <col min="7" max="7" width="9.875" style="29" bestFit="1" customWidth="1"/>
    <col min="8" max="9" width="9" style="29" bestFit="1" customWidth="1"/>
    <col min="10" max="11" width="12.125" style="1" bestFit="1" customWidth="1"/>
    <col min="12" max="12" width="12.375" style="1" bestFit="1" customWidth="1"/>
    <col min="13" max="13" width="12.25" style="1" bestFit="1" customWidth="1"/>
    <col min="14" max="15" width="12.375" style="1" bestFit="1" customWidth="1"/>
    <col min="16" max="16" width="14.875" style="1" bestFit="1" customWidth="1"/>
    <col min="17" max="17" width="17.375" style="1" customWidth="1"/>
    <col min="18" max="18" width="16.5" style="21" bestFit="1" customWidth="1"/>
    <col min="19" max="19" width="16.375" style="21" bestFit="1" customWidth="1"/>
    <col min="20" max="20" width="17.375" style="29" bestFit="1" customWidth="1"/>
    <col min="21" max="16384" width="9.125" style="1"/>
  </cols>
  <sheetData>
    <row r="1" spans="1:20" s="3" customFormat="1" ht="36" x14ac:dyDescent="0.2">
      <c r="A1" s="88" t="s">
        <v>172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20" s="4" customFormat="1" ht="52.5" x14ac:dyDescent="0.2">
      <c r="A2" s="86" t="s">
        <v>1</v>
      </c>
      <c r="B2" s="86" t="s">
        <v>2</v>
      </c>
      <c r="C2" s="86" t="s">
        <v>19</v>
      </c>
      <c r="D2" s="86" t="s">
        <v>20</v>
      </c>
      <c r="E2" s="86" t="s">
        <v>107</v>
      </c>
      <c r="F2" s="86" t="s">
        <v>108</v>
      </c>
      <c r="G2" s="78" t="s">
        <v>109</v>
      </c>
      <c r="H2" s="78" t="s">
        <v>110</v>
      </c>
      <c r="I2" s="40" t="s">
        <v>15</v>
      </c>
      <c r="J2" s="86" t="s">
        <v>11</v>
      </c>
      <c r="K2" s="86" t="s">
        <v>12</v>
      </c>
      <c r="L2" s="86" t="s">
        <v>13</v>
      </c>
      <c r="M2" s="86" t="s">
        <v>14</v>
      </c>
      <c r="N2" s="86" t="s">
        <v>36</v>
      </c>
      <c r="O2" s="86" t="s">
        <v>18</v>
      </c>
      <c r="P2" s="79" t="s">
        <v>15</v>
      </c>
      <c r="Q2" s="85" t="s">
        <v>16</v>
      </c>
      <c r="R2" s="33" t="s">
        <v>0</v>
      </c>
      <c r="S2" s="33" t="s">
        <v>0</v>
      </c>
      <c r="T2" s="33" t="s">
        <v>0</v>
      </c>
    </row>
    <row r="3" spans="1:20" s="4" customFormat="1" ht="52.5" x14ac:dyDescent="0.2">
      <c r="A3" s="87"/>
      <c r="B3" s="87"/>
      <c r="C3" s="87"/>
      <c r="D3" s="87"/>
      <c r="E3" s="87"/>
      <c r="F3" s="87"/>
      <c r="G3" s="77"/>
      <c r="H3" s="77"/>
      <c r="I3" s="39" t="s">
        <v>38</v>
      </c>
      <c r="J3" s="87"/>
      <c r="K3" s="87"/>
      <c r="L3" s="87"/>
      <c r="M3" s="87"/>
      <c r="N3" s="87"/>
      <c r="O3" s="87"/>
      <c r="P3" s="80"/>
      <c r="Q3" s="85"/>
      <c r="R3" s="26" t="s">
        <v>161</v>
      </c>
      <c r="S3" s="26" t="s">
        <v>162</v>
      </c>
      <c r="T3" s="25" t="s">
        <v>160</v>
      </c>
    </row>
    <row r="4" spans="1:20" x14ac:dyDescent="0.2">
      <c r="A4" s="9">
        <v>1</v>
      </c>
      <c r="B4" s="5" t="s">
        <v>103</v>
      </c>
      <c r="C4" s="5" t="s">
        <v>104</v>
      </c>
      <c r="D4" s="9">
        <v>4321001536</v>
      </c>
      <c r="E4" s="5"/>
      <c r="F4" s="9" t="s">
        <v>105</v>
      </c>
      <c r="G4" s="17">
        <v>11</v>
      </c>
      <c r="H4" s="17">
        <v>2</v>
      </c>
      <c r="I4" s="17">
        <v>80</v>
      </c>
      <c r="J4" s="7">
        <f>IF(G4=0,26554950,0)+IF(G4=1,43897391,0)+IF(G4=2,45829377,0)+IF(G4=3,47568183,0)+IF(G4=4,49030866,0)+IF(G4=5,50120231,0)+IF(G4=6,51392432,0)+IF(G4=7,52230564,0)+IF(G4=8,53186073,0)+IF(G4=9,53745052,0)+IF(G4&gt;=10,54120691,0)</f>
        <v>54120691</v>
      </c>
      <c r="K4" s="20">
        <f>H4*4179750</f>
        <v>8359500</v>
      </c>
      <c r="L4" s="10">
        <v>8500000</v>
      </c>
      <c r="M4" s="10">
        <v>6500000</v>
      </c>
      <c r="N4" s="10">
        <f>J4*2/12</f>
        <v>9020115.166666666</v>
      </c>
      <c r="O4" s="10">
        <f>J4/12</f>
        <v>4510057.583333333</v>
      </c>
      <c r="P4" s="10">
        <f>I4*1.4*(J4/30)/7.33</f>
        <v>27564881.273306049</v>
      </c>
      <c r="Q4" s="8"/>
      <c r="R4" s="10">
        <f>((J4+K4+L4+M4)/30)*31+N4+O4+P4+Q4</f>
        <v>121157918.05663937</v>
      </c>
      <c r="S4" s="10">
        <f>SUM(J4:Q4)</f>
        <v>118575245.02330604</v>
      </c>
      <c r="T4" s="10">
        <f>AVERAGE(R4:S4)</f>
        <v>119866581.53997271</v>
      </c>
    </row>
    <row r="5" spans="1:20" ht="24.75" customHeight="1" x14ac:dyDescent="0.2">
      <c r="A5" s="9">
        <v>2</v>
      </c>
      <c r="B5" s="5" t="s">
        <v>95</v>
      </c>
      <c r="C5" s="5" t="s">
        <v>96</v>
      </c>
      <c r="D5" s="9">
        <v>1719763852</v>
      </c>
      <c r="E5" s="5"/>
      <c r="F5" s="9" t="s">
        <v>106</v>
      </c>
      <c r="G5" s="17">
        <v>4</v>
      </c>
      <c r="H5" s="17">
        <v>3</v>
      </c>
      <c r="I5" s="17">
        <v>40</v>
      </c>
      <c r="J5" s="7">
        <f>IF(G5=0,26554950,0)+IF(G5=1,43897391,0)+IF(G5=2,45829377,0)+IF(G5=3,47568183,0)+IF(G5=4,49030866,0)+IF(G5=5,50120231,0)+IF(G5=6,51392432,0)+IF(G5=7,52230564,0)+IF(G5=8,53186073,0)+IF(G5=9,53745052,0)+IF(G5&gt;=10,54120691,0)</f>
        <v>49030866</v>
      </c>
      <c r="K5" s="20">
        <f>H5*4179750</f>
        <v>12539250</v>
      </c>
      <c r="L5" s="10">
        <v>8500000</v>
      </c>
      <c r="M5" s="10">
        <v>6500000</v>
      </c>
      <c r="N5" s="10">
        <f>J5*2/12</f>
        <v>8171811</v>
      </c>
      <c r="O5" s="10">
        <f>J5/12</f>
        <v>4085905.5</v>
      </c>
      <c r="P5" s="10">
        <f>I5*1.4*(J5/30)/7.33</f>
        <v>12486259.645293316</v>
      </c>
      <c r="Q5" s="8"/>
      <c r="R5" s="10">
        <f>((J5+K5+L5+M5)/30)*31+N5+O5+P5+Q5</f>
        <v>103866429.34529331</v>
      </c>
      <c r="S5" s="10">
        <f>SUM(J5:Q5)</f>
        <v>101314092.14529331</v>
      </c>
      <c r="T5" s="10">
        <f>AVERAGE(R5:S5)</f>
        <v>102590260.74529332</v>
      </c>
    </row>
    <row r="6" spans="1:20" ht="24.75" customHeight="1" x14ac:dyDescent="0.2">
      <c r="A6" s="9">
        <v>3</v>
      </c>
      <c r="B6" s="5" t="s">
        <v>97</v>
      </c>
      <c r="C6" s="5" t="s">
        <v>98</v>
      </c>
      <c r="D6" s="9">
        <v>1590041208</v>
      </c>
      <c r="E6" s="5"/>
      <c r="F6" s="9" t="s">
        <v>71</v>
      </c>
      <c r="G6" s="17">
        <v>4</v>
      </c>
      <c r="H6" s="17">
        <v>0</v>
      </c>
      <c r="I6" s="17">
        <v>40</v>
      </c>
      <c r="J6" s="7">
        <f>IF(G6=0,26554950,0)+IF(G6=1,43897391,0)+IF(G6=2,45829377,0)+IF(G6=3,47568183,0)+IF(G6=4,49030866,0)+IF(G6=5,50120231,0)+IF(G6=6,51392432,0)+IF(G6=7,52230564,0)+IF(G6=8,53186073,0)+IF(G6=9,53745052,0)+IF(G6&gt;=10,54120691,0)</f>
        <v>49030866</v>
      </c>
      <c r="K6" s="7">
        <f>H6*2655495</f>
        <v>0</v>
      </c>
      <c r="L6" s="10">
        <v>8500000</v>
      </c>
      <c r="M6" s="10">
        <v>6500000</v>
      </c>
      <c r="N6" s="10">
        <f t="shared" ref="N6:N8" si="0">J6*2/12</f>
        <v>8171811</v>
      </c>
      <c r="O6" s="10">
        <f t="shared" ref="O6:O8" si="1">J6/12</f>
        <v>4085905.5</v>
      </c>
      <c r="P6" s="10">
        <f>I6*1.4*(J6/30)/7.33</f>
        <v>12486259.645293316</v>
      </c>
      <c r="Q6" s="8"/>
      <c r="R6" s="10">
        <f t="shared" ref="R6:R8" si="2">((J6+K6+L6+M6)/30)*31+N6+O6+P6+Q6</f>
        <v>90909204.345293313</v>
      </c>
      <c r="S6" s="10">
        <f t="shared" ref="S6:S8" si="3">SUM(J6:Q6)</f>
        <v>88774842.14529331</v>
      </c>
      <c r="T6" s="10">
        <f t="shared" ref="T6:T8" si="4">AVERAGE(R6:S6)</f>
        <v>89842023.245293319</v>
      </c>
    </row>
    <row r="7" spans="1:20" ht="24.75" customHeight="1" x14ac:dyDescent="0.2">
      <c r="A7" s="9">
        <v>4</v>
      </c>
      <c r="B7" s="5" t="s">
        <v>99</v>
      </c>
      <c r="C7" s="5" t="s">
        <v>100</v>
      </c>
      <c r="D7" s="9">
        <v>4322059589</v>
      </c>
      <c r="E7" s="5"/>
      <c r="F7" s="36" t="s">
        <v>17</v>
      </c>
      <c r="G7" s="17">
        <v>3</v>
      </c>
      <c r="H7" s="17">
        <v>0</v>
      </c>
      <c r="I7" s="17">
        <v>60</v>
      </c>
      <c r="J7" s="7">
        <f>IF(G7=0,26554950,0)+IF(G7=1,43897391,0)+IF(G7=2,45829377,0)+IF(G7=3,47568183,0)+IF(G7=4,49030866,0)+IF(G7=5,50120231,0)+IF(G7=6,51392432,0)+IF(G7=7,52230564,0)+IF(G7=8,53186073,0)+IF(G7=9,53745052,0)+IF(G7&gt;=10,54120691,0)</f>
        <v>47568183</v>
      </c>
      <c r="K7" s="7">
        <f>H7*2655495</f>
        <v>0</v>
      </c>
      <c r="L7" s="10">
        <v>8500000</v>
      </c>
      <c r="M7" s="10">
        <v>6500000</v>
      </c>
      <c r="N7" s="10">
        <f t="shared" si="0"/>
        <v>7928030.5</v>
      </c>
      <c r="O7" s="10">
        <f t="shared" si="1"/>
        <v>3964015.25</v>
      </c>
      <c r="P7" s="10">
        <f>I7*1.4*(J7/30)/7.33</f>
        <v>18170656.534788541</v>
      </c>
      <c r="Q7" s="8">
        <f>0.15*J7</f>
        <v>7135227.4500000002</v>
      </c>
      <c r="R7" s="10">
        <f t="shared" si="2"/>
        <v>101851718.83478855</v>
      </c>
      <c r="S7" s="10">
        <f t="shared" si="3"/>
        <v>99766112.734788552</v>
      </c>
      <c r="T7" s="10">
        <f t="shared" si="4"/>
        <v>100808915.78478855</v>
      </c>
    </row>
    <row r="8" spans="1:20" ht="24.75" customHeight="1" x14ac:dyDescent="0.2">
      <c r="A8" s="9">
        <v>5</v>
      </c>
      <c r="B8" s="5" t="s">
        <v>101</v>
      </c>
      <c r="C8" s="5" t="s">
        <v>102</v>
      </c>
      <c r="D8" s="9">
        <v>1600742531</v>
      </c>
      <c r="E8" s="5"/>
      <c r="F8" s="36" t="s">
        <v>17</v>
      </c>
      <c r="G8" s="17">
        <v>2</v>
      </c>
      <c r="H8" s="17">
        <v>0</v>
      </c>
      <c r="I8" s="17">
        <v>60</v>
      </c>
      <c r="J8" s="7">
        <f>IF(G8=0,26554950,0)+IF(G8=1,43897391,0)+IF(G8=2,45829377,0)+IF(G8=3,47568183,0)+IF(G8=4,49030866,0)+IF(G8=5,50120231,0)+IF(G8=6,51392432,0)+IF(G8=7,52230564,0)+IF(G8=8,53186073,0)+IF(G8=9,53745052,0)+IF(G8&gt;=10,54120691,0)</f>
        <v>45829377</v>
      </c>
      <c r="K8" s="7">
        <f>H8*2655495</f>
        <v>0</v>
      </c>
      <c r="L8" s="10">
        <v>8500000</v>
      </c>
      <c r="M8" s="10">
        <v>6500000</v>
      </c>
      <c r="N8" s="10">
        <f t="shared" si="0"/>
        <v>7638229.5</v>
      </c>
      <c r="O8" s="10">
        <f t="shared" si="1"/>
        <v>3819114.75</v>
      </c>
      <c r="P8" s="10">
        <f>I8*1.4*(J8/30)/7.33</f>
        <v>17506446.875852659</v>
      </c>
      <c r="Q8" s="8">
        <f>0.15*J8</f>
        <v>6874406.5499999998</v>
      </c>
      <c r="R8" s="10">
        <f t="shared" si="2"/>
        <v>98695220.575852662</v>
      </c>
      <c r="S8" s="10">
        <f t="shared" si="3"/>
        <v>96667574.675852656</v>
      </c>
      <c r="T8" s="10">
        <f t="shared" si="4"/>
        <v>97681397.625852659</v>
      </c>
    </row>
    <row r="9" spans="1:20" ht="26.25" x14ac:dyDescent="0.2">
      <c r="R9" s="81" t="s">
        <v>168</v>
      </c>
      <c r="S9" s="82"/>
      <c r="T9" s="10">
        <f>SUM(T5:T8)</f>
        <v>390922597.40122783</v>
      </c>
    </row>
    <row r="10" spans="1:20" ht="26.25" x14ac:dyDescent="0.2">
      <c r="R10" s="83" t="s">
        <v>169</v>
      </c>
      <c r="S10" s="84"/>
      <c r="T10" s="45">
        <f>AVERAGE(T5:T8)</f>
        <v>97730649.350306958</v>
      </c>
    </row>
    <row r="12" spans="1:20" x14ac:dyDescent="0.2">
      <c r="R12" s="31"/>
      <c r="S12" s="31"/>
      <c r="T12" s="32"/>
    </row>
  </sheetData>
  <mergeCells count="19">
    <mergeCell ref="A1:S1"/>
    <mergeCell ref="N2:N3"/>
    <mergeCell ref="O2:O3"/>
    <mergeCell ref="A2:A3"/>
    <mergeCell ref="B2:B3"/>
    <mergeCell ref="C2:C3"/>
    <mergeCell ref="D2:D3"/>
    <mergeCell ref="E2:E3"/>
    <mergeCell ref="F2:F3"/>
    <mergeCell ref="G2:G3"/>
    <mergeCell ref="H2:H3"/>
    <mergeCell ref="J2:J3"/>
    <mergeCell ref="K2:K3"/>
    <mergeCell ref="L2:L3"/>
    <mergeCell ref="P2:P3"/>
    <mergeCell ref="Q2:Q3"/>
    <mergeCell ref="R9:S9"/>
    <mergeCell ref="R10:S10"/>
    <mergeCell ref="M2:M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rightToLeft="1" zoomScale="70" zoomScaleNormal="70" workbookViewId="0">
      <selection activeCell="F5" sqref="F5"/>
    </sheetView>
  </sheetViews>
  <sheetFormatPr defaultColWidth="9.125" defaultRowHeight="24.75" x14ac:dyDescent="0.2"/>
  <cols>
    <col min="1" max="1" width="6.75" style="1" bestFit="1" customWidth="1"/>
    <col min="2" max="2" width="18" style="2" bestFit="1" customWidth="1"/>
    <col min="3" max="3" width="9.625" style="2" customWidth="1"/>
    <col min="4" max="4" width="13.75" style="2" bestFit="1" customWidth="1"/>
    <col min="5" max="5" width="12.25" style="13" bestFit="1" customWidth="1"/>
    <col min="6" max="6" width="29.75" style="2" bestFit="1" customWidth="1"/>
    <col min="7" max="7" width="10.125" style="29" bestFit="1" customWidth="1"/>
    <col min="8" max="9" width="10.25" style="29" bestFit="1" customWidth="1"/>
    <col min="10" max="11" width="12.25" style="1" bestFit="1" customWidth="1"/>
    <col min="12" max="15" width="12.5" style="1" customWidth="1"/>
    <col min="16" max="16" width="15.125" style="1" bestFit="1" customWidth="1"/>
    <col min="17" max="17" width="17.375" style="1" customWidth="1"/>
    <col min="18" max="18" width="19" style="21" bestFit="1" customWidth="1"/>
    <col min="19" max="19" width="18.75" style="21" bestFit="1" customWidth="1"/>
    <col min="20" max="20" width="17.25" style="29" bestFit="1" customWidth="1"/>
    <col min="21" max="16384" width="9.125" style="1"/>
  </cols>
  <sheetData>
    <row r="1" spans="1:20" s="3" customFormat="1" ht="36" x14ac:dyDescent="0.2">
      <c r="A1" s="88" t="s">
        <v>171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20" ht="26.25" x14ac:dyDescent="0.2">
      <c r="A2" s="86" t="s">
        <v>1</v>
      </c>
      <c r="B2" s="86" t="s">
        <v>2</v>
      </c>
      <c r="C2" s="86" t="s">
        <v>19</v>
      </c>
      <c r="D2" s="86" t="s">
        <v>20</v>
      </c>
      <c r="E2" s="86" t="s">
        <v>107</v>
      </c>
      <c r="F2" s="86" t="s">
        <v>108</v>
      </c>
      <c r="G2" s="78" t="s">
        <v>109</v>
      </c>
      <c r="H2" s="78" t="s">
        <v>110</v>
      </c>
      <c r="I2" s="40" t="s">
        <v>15</v>
      </c>
      <c r="J2" s="86" t="s">
        <v>11</v>
      </c>
      <c r="K2" s="86" t="s">
        <v>12</v>
      </c>
      <c r="L2" s="86" t="s">
        <v>13</v>
      </c>
      <c r="M2" s="86" t="s">
        <v>14</v>
      </c>
      <c r="N2" s="86" t="s">
        <v>36</v>
      </c>
      <c r="O2" s="86" t="s">
        <v>18</v>
      </c>
      <c r="P2" s="79" t="s">
        <v>15</v>
      </c>
      <c r="Q2" s="85" t="s">
        <v>16</v>
      </c>
      <c r="R2" s="33" t="s">
        <v>0</v>
      </c>
      <c r="S2" s="33" t="s">
        <v>0</v>
      </c>
      <c r="T2" s="33" t="s">
        <v>0</v>
      </c>
    </row>
    <row r="3" spans="1:20" ht="52.5" x14ac:dyDescent="0.2">
      <c r="A3" s="87"/>
      <c r="B3" s="87"/>
      <c r="C3" s="87"/>
      <c r="D3" s="87"/>
      <c r="E3" s="87"/>
      <c r="F3" s="87"/>
      <c r="G3" s="77"/>
      <c r="H3" s="77"/>
      <c r="I3" s="39" t="s">
        <v>38</v>
      </c>
      <c r="J3" s="87"/>
      <c r="K3" s="87"/>
      <c r="L3" s="87"/>
      <c r="M3" s="87"/>
      <c r="N3" s="87"/>
      <c r="O3" s="87"/>
      <c r="P3" s="80"/>
      <c r="Q3" s="85"/>
      <c r="R3" s="26" t="s">
        <v>161</v>
      </c>
      <c r="S3" s="26" t="s">
        <v>162</v>
      </c>
      <c r="T3" s="25" t="s">
        <v>160</v>
      </c>
    </row>
    <row r="4" spans="1:20" x14ac:dyDescent="0.2">
      <c r="A4" s="9">
        <v>1</v>
      </c>
      <c r="B4" s="6" t="s">
        <v>126</v>
      </c>
      <c r="C4" s="6" t="s">
        <v>127</v>
      </c>
      <c r="D4" s="11">
        <v>4380301168</v>
      </c>
      <c r="E4" s="6" t="s">
        <v>128</v>
      </c>
      <c r="F4" s="6" t="s">
        <v>37</v>
      </c>
      <c r="G4" s="20">
        <v>7</v>
      </c>
      <c r="H4" s="20">
        <v>0</v>
      </c>
      <c r="I4" s="20">
        <v>80</v>
      </c>
      <c r="J4" s="7">
        <f t="shared" ref="J4:J12" si="0">IF(G4=0,26554950,0)+IF(G4=1,43897391,0)+IF(G4=2,45829377,0)+IF(G4=3,47568183,0)+IF(G4=4,49030866,0)+IF(G4=5,50120231,0)+IF(G4=6,51392432,0)+IF(G4=7,52230564,0)+IF(G4=8,53186073,0)+IF(G4=9,53745052,0)+IF(G4&gt;=10,54120691,0)</f>
        <v>52230564</v>
      </c>
      <c r="K4" s="20">
        <f t="shared" ref="K4:K12" si="1">H4*4179750</f>
        <v>0</v>
      </c>
      <c r="L4" s="10">
        <v>8500000</v>
      </c>
      <c r="M4" s="10">
        <v>6500000</v>
      </c>
      <c r="N4" s="10">
        <f>J4*2/12</f>
        <v>8705094</v>
      </c>
      <c r="O4" s="10">
        <f>J4/12</f>
        <v>4352547</v>
      </c>
      <c r="P4" s="10">
        <f t="shared" ref="P4:P12" si="2">I4*1.4*(J4/30)/7.33</f>
        <v>26602197.216916781</v>
      </c>
      <c r="Q4" s="8"/>
      <c r="R4" s="10">
        <f>((J4+K4+L4+M4)/30)*31+N4+O4+P4+Q4</f>
        <v>109131421.01691678</v>
      </c>
      <c r="S4" s="10">
        <f>SUM(J4:Q4)</f>
        <v>106890402.21691678</v>
      </c>
      <c r="T4" s="10">
        <f>AVERAGE(R4:S4)</f>
        <v>108010911.61691678</v>
      </c>
    </row>
    <row r="5" spans="1:20" x14ac:dyDescent="0.2">
      <c r="A5" s="9">
        <v>2</v>
      </c>
      <c r="B5" s="6" t="s">
        <v>41</v>
      </c>
      <c r="C5" s="6" t="s">
        <v>42</v>
      </c>
      <c r="D5" s="11">
        <v>4391326337</v>
      </c>
      <c r="E5" s="6" t="s">
        <v>128</v>
      </c>
      <c r="F5" s="6" t="s">
        <v>43</v>
      </c>
      <c r="G5" s="20">
        <v>14</v>
      </c>
      <c r="H5" s="20">
        <v>1</v>
      </c>
      <c r="I5" s="20">
        <v>40</v>
      </c>
      <c r="J5" s="7">
        <f t="shared" si="0"/>
        <v>54120691</v>
      </c>
      <c r="K5" s="20">
        <f t="shared" si="1"/>
        <v>4179750</v>
      </c>
      <c r="L5" s="10">
        <v>8500000</v>
      </c>
      <c r="M5" s="10">
        <v>6500000</v>
      </c>
      <c r="N5" s="10">
        <f t="shared" ref="N5:N12" si="3">J5*2/12</f>
        <v>9020115.166666666</v>
      </c>
      <c r="O5" s="10">
        <f t="shared" ref="O5:O12" si="4">J5/12</f>
        <v>4510057.583333333</v>
      </c>
      <c r="P5" s="10">
        <f t="shared" si="2"/>
        <v>13782440.636653025</v>
      </c>
      <c r="Q5" s="8"/>
      <c r="R5" s="10">
        <f t="shared" ref="R5:R12" si="5">((J5+K5+L5+M5)/30)*31+N5+O5+P5+Q5</f>
        <v>103056402.41998635</v>
      </c>
      <c r="S5" s="10">
        <f t="shared" ref="S5:S12" si="6">SUM(J5:Q5)</f>
        <v>100613054.38665302</v>
      </c>
      <c r="T5" s="10">
        <f t="shared" ref="T5:T12" si="7">AVERAGE(R5:S5)</f>
        <v>101834728.40331969</v>
      </c>
    </row>
    <row r="6" spans="1:20" x14ac:dyDescent="0.2">
      <c r="A6" s="9">
        <v>3</v>
      </c>
      <c r="B6" s="6" t="s">
        <v>44</v>
      </c>
      <c r="C6" s="6" t="s">
        <v>45</v>
      </c>
      <c r="D6" s="11">
        <v>4372462638</v>
      </c>
      <c r="E6" s="6" t="s">
        <v>128</v>
      </c>
      <c r="F6" s="6" t="s">
        <v>46</v>
      </c>
      <c r="G6" s="20">
        <v>4</v>
      </c>
      <c r="H6" s="20">
        <v>2</v>
      </c>
      <c r="I6" s="20">
        <v>40</v>
      </c>
      <c r="J6" s="7">
        <f t="shared" si="0"/>
        <v>49030866</v>
      </c>
      <c r="K6" s="20">
        <f t="shared" si="1"/>
        <v>8359500</v>
      </c>
      <c r="L6" s="10">
        <v>8500000</v>
      </c>
      <c r="M6" s="10">
        <v>6500000</v>
      </c>
      <c r="N6" s="10">
        <f t="shared" si="3"/>
        <v>8171811</v>
      </c>
      <c r="O6" s="10">
        <f t="shared" si="4"/>
        <v>4085905.5</v>
      </c>
      <c r="P6" s="10">
        <f t="shared" si="2"/>
        <v>12486259.645293316</v>
      </c>
      <c r="Q6" s="8"/>
      <c r="R6" s="10">
        <f t="shared" si="5"/>
        <v>99547354.345293313</v>
      </c>
      <c r="S6" s="10">
        <f t="shared" si="6"/>
        <v>97134342.14529331</v>
      </c>
      <c r="T6" s="10">
        <f t="shared" si="7"/>
        <v>98340848.245293319</v>
      </c>
    </row>
    <row r="7" spans="1:20" s="21" customFormat="1" x14ac:dyDescent="0.2">
      <c r="A7" s="17">
        <v>4</v>
      </c>
      <c r="B7" s="18" t="s">
        <v>47</v>
      </c>
      <c r="C7" s="18" t="s">
        <v>48</v>
      </c>
      <c r="D7" s="19">
        <v>4390349198</v>
      </c>
      <c r="E7" s="18" t="s">
        <v>128</v>
      </c>
      <c r="F7" s="18" t="s">
        <v>46</v>
      </c>
      <c r="G7" s="20">
        <v>3</v>
      </c>
      <c r="H7" s="20">
        <v>2</v>
      </c>
      <c r="I7" s="20">
        <v>40</v>
      </c>
      <c r="J7" s="7">
        <f t="shared" si="0"/>
        <v>47568183</v>
      </c>
      <c r="K7" s="20">
        <f t="shared" si="1"/>
        <v>8359500</v>
      </c>
      <c r="L7" s="10">
        <v>8500000</v>
      </c>
      <c r="M7" s="10">
        <v>6500000</v>
      </c>
      <c r="N7" s="10">
        <f t="shared" si="3"/>
        <v>7928030.5</v>
      </c>
      <c r="O7" s="10">
        <f t="shared" si="4"/>
        <v>3964015.25</v>
      </c>
      <c r="P7" s="10">
        <f t="shared" si="2"/>
        <v>12113771.023192361</v>
      </c>
      <c r="Q7" s="8"/>
      <c r="R7" s="10">
        <f t="shared" si="5"/>
        <v>97297755.87319237</v>
      </c>
      <c r="S7" s="10">
        <f t="shared" si="6"/>
        <v>94933499.773192361</v>
      </c>
      <c r="T7" s="10">
        <f t="shared" si="7"/>
        <v>96115627.823192358</v>
      </c>
    </row>
    <row r="8" spans="1:20" s="21" customFormat="1" x14ac:dyDescent="0.2">
      <c r="A8" s="17">
        <v>5</v>
      </c>
      <c r="B8" s="18" t="s">
        <v>49</v>
      </c>
      <c r="C8" s="18" t="s">
        <v>31</v>
      </c>
      <c r="D8" s="19">
        <v>3761113390</v>
      </c>
      <c r="E8" s="18" t="s">
        <v>128</v>
      </c>
      <c r="F8" s="37" t="s">
        <v>50</v>
      </c>
      <c r="G8" s="20">
        <v>10</v>
      </c>
      <c r="H8" s="20">
        <v>3</v>
      </c>
      <c r="I8" s="20">
        <v>60</v>
      </c>
      <c r="J8" s="7">
        <f t="shared" si="0"/>
        <v>54120691</v>
      </c>
      <c r="K8" s="20">
        <f t="shared" si="1"/>
        <v>12539250</v>
      </c>
      <c r="L8" s="10">
        <v>8500000</v>
      </c>
      <c r="M8" s="10">
        <v>6500000</v>
      </c>
      <c r="N8" s="10">
        <f t="shared" si="3"/>
        <v>9020115.166666666</v>
      </c>
      <c r="O8" s="10">
        <f t="shared" si="4"/>
        <v>4510057.583333333</v>
      </c>
      <c r="P8" s="10">
        <f t="shared" si="2"/>
        <v>20673660.954979539</v>
      </c>
      <c r="Q8" s="8">
        <f>J8*0.15</f>
        <v>8118103.6499999994</v>
      </c>
      <c r="R8" s="10">
        <f t="shared" si="5"/>
        <v>126703876.38831288</v>
      </c>
      <c r="S8" s="10">
        <f t="shared" si="6"/>
        <v>123981878.35497954</v>
      </c>
      <c r="T8" s="10">
        <f t="shared" si="7"/>
        <v>125342877.37164621</v>
      </c>
    </row>
    <row r="9" spans="1:20" s="21" customFormat="1" x14ac:dyDescent="0.2">
      <c r="A9" s="17">
        <v>6</v>
      </c>
      <c r="B9" s="18" t="s">
        <v>51</v>
      </c>
      <c r="C9" s="18" t="s">
        <v>52</v>
      </c>
      <c r="D9" s="19">
        <v>4391840707</v>
      </c>
      <c r="E9" s="18" t="s">
        <v>128</v>
      </c>
      <c r="F9" s="37" t="s">
        <v>53</v>
      </c>
      <c r="G9" s="20">
        <v>10</v>
      </c>
      <c r="H9" s="20">
        <v>2</v>
      </c>
      <c r="I9" s="20">
        <v>60</v>
      </c>
      <c r="J9" s="7">
        <f t="shared" si="0"/>
        <v>54120691</v>
      </c>
      <c r="K9" s="20">
        <f t="shared" si="1"/>
        <v>8359500</v>
      </c>
      <c r="L9" s="10">
        <v>8500000</v>
      </c>
      <c r="M9" s="10">
        <v>6500000</v>
      </c>
      <c r="N9" s="10">
        <f t="shared" si="3"/>
        <v>9020115.166666666</v>
      </c>
      <c r="O9" s="10">
        <f t="shared" si="4"/>
        <v>4510057.583333333</v>
      </c>
      <c r="P9" s="10">
        <f t="shared" si="2"/>
        <v>20673660.954979539</v>
      </c>
      <c r="Q9" s="8">
        <f t="shared" ref="Q9:Q12" si="8">J9*0.15</f>
        <v>8118103.6499999994</v>
      </c>
      <c r="R9" s="10">
        <f t="shared" si="5"/>
        <v>122384801.38831288</v>
      </c>
      <c r="S9" s="10">
        <f t="shared" si="6"/>
        <v>119802128.35497954</v>
      </c>
      <c r="T9" s="10">
        <f t="shared" si="7"/>
        <v>121093464.87164621</v>
      </c>
    </row>
    <row r="10" spans="1:20" x14ac:dyDescent="0.2">
      <c r="A10" s="9">
        <v>7</v>
      </c>
      <c r="B10" s="6" t="s">
        <v>54</v>
      </c>
      <c r="C10" s="6" t="s">
        <v>52</v>
      </c>
      <c r="D10" s="11">
        <v>4391799797</v>
      </c>
      <c r="E10" s="6" t="s">
        <v>128</v>
      </c>
      <c r="F10" s="37" t="s">
        <v>53</v>
      </c>
      <c r="G10" s="20">
        <v>9</v>
      </c>
      <c r="H10" s="20">
        <v>2</v>
      </c>
      <c r="I10" s="20">
        <v>60</v>
      </c>
      <c r="J10" s="7">
        <f t="shared" si="0"/>
        <v>53745052</v>
      </c>
      <c r="K10" s="20">
        <f t="shared" si="1"/>
        <v>8359500</v>
      </c>
      <c r="L10" s="10">
        <v>8500000</v>
      </c>
      <c r="M10" s="10">
        <v>6500000</v>
      </c>
      <c r="N10" s="10">
        <f t="shared" si="3"/>
        <v>8957508.666666666</v>
      </c>
      <c r="O10" s="10">
        <f t="shared" si="4"/>
        <v>4478754.333333333</v>
      </c>
      <c r="P10" s="10">
        <f t="shared" si="2"/>
        <v>20530169.931787174</v>
      </c>
      <c r="Q10" s="8">
        <f t="shared" si="8"/>
        <v>8061757.7999999998</v>
      </c>
      <c r="R10" s="10">
        <f t="shared" si="5"/>
        <v>121702894.46512051</v>
      </c>
      <c r="S10" s="10">
        <f t="shared" si="6"/>
        <v>119132742.73178717</v>
      </c>
      <c r="T10" s="10">
        <f t="shared" si="7"/>
        <v>120417818.59845385</v>
      </c>
    </row>
    <row r="11" spans="1:20" x14ac:dyDescent="0.2">
      <c r="A11" s="9">
        <v>8</v>
      </c>
      <c r="B11" s="6" t="s">
        <v>55</v>
      </c>
      <c r="C11" s="6" t="s">
        <v>56</v>
      </c>
      <c r="D11" s="11">
        <v>1590113888</v>
      </c>
      <c r="E11" s="6" t="s">
        <v>128</v>
      </c>
      <c r="F11" s="37" t="s">
        <v>53</v>
      </c>
      <c r="G11" s="20">
        <v>4</v>
      </c>
      <c r="H11" s="20">
        <v>1</v>
      </c>
      <c r="I11" s="20">
        <v>60</v>
      </c>
      <c r="J11" s="7">
        <f t="shared" si="0"/>
        <v>49030866</v>
      </c>
      <c r="K11" s="20">
        <f t="shared" si="1"/>
        <v>4179750</v>
      </c>
      <c r="L11" s="10">
        <v>8500000</v>
      </c>
      <c r="M11" s="10">
        <v>6500000</v>
      </c>
      <c r="N11" s="10">
        <f t="shared" si="3"/>
        <v>8171811</v>
      </c>
      <c r="O11" s="10">
        <f t="shared" si="4"/>
        <v>4085905.5</v>
      </c>
      <c r="P11" s="10">
        <f t="shared" si="2"/>
        <v>18729389.467939969</v>
      </c>
      <c r="Q11" s="8">
        <f t="shared" si="8"/>
        <v>7354629.8999999994</v>
      </c>
      <c r="R11" s="10">
        <f t="shared" si="5"/>
        <v>108826039.06793998</v>
      </c>
      <c r="S11" s="10">
        <f t="shared" si="6"/>
        <v>106552351.86793998</v>
      </c>
      <c r="T11" s="10">
        <f t="shared" si="7"/>
        <v>107689195.46793997</v>
      </c>
    </row>
    <row r="12" spans="1:20" x14ac:dyDescent="0.2">
      <c r="A12" s="9">
        <v>9</v>
      </c>
      <c r="B12" s="6" t="s">
        <v>129</v>
      </c>
      <c r="C12" s="6" t="s">
        <v>130</v>
      </c>
      <c r="D12" s="11">
        <v>4391204551</v>
      </c>
      <c r="E12" s="6" t="s">
        <v>131</v>
      </c>
      <c r="F12" s="37" t="s">
        <v>53</v>
      </c>
      <c r="G12" s="20">
        <v>6</v>
      </c>
      <c r="H12" s="20">
        <v>0</v>
      </c>
      <c r="I12" s="20">
        <v>60</v>
      </c>
      <c r="J12" s="7">
        <f t="shared" si="0"/>
        <v>51392432</v>
      </c>
      <c r="K12" s="20">
        <f t="shared" si="1"/>
        <v>0</v>
      </c>
      <c r="L12" s="10">
        <v>8500000</v>
      </c>
      <c r="M12" s="10">
        <v>6500000</v>
      </c>
      <c r="N12" s="10">
        <f t="shared" si="3"/>
        <v>8565405.333333334</v>
      </c>
      <c r="O12" s="10">
        <f t="shared" si="4"/>
        <v>4282702.666666667</v>
      </c>
      <c r="P12" s="10">
        <f t="shared" si="2"/>
        <v>19631488.349249657</v>
      </c>
      <c r="Q12" s="8">
        <f t="shared" si="8"/>
        <v>7708864.7999999998</v>
      </c>
      <c r="R12" s="10">
        <f t="shared" si="5"/>
        <v>108793974.21591634</v>
      </c>
      <c r="S12" s="10">
        <f t="shared" si="6"/>
        <v>106580893.14924966</v>
      </c>
      <c r="T12" s="10">
        <f t="shared" si="7"/>
        <v>107687433.682583</v>
      </c>
    </row>
    <row r="13" spans="1:20" ht="26.25" x14ac:dyDescent="0.2">
      <c r="I13" s="32"/>
      <c r="R13" s="81" t="s">
        <v>168</v>
      </c>
      <c r="S13" s="82"/>
      <c r="T13" s="10">
        <f>SUM(T4:T12)</f>
        <v>986532906.08099139</v>
      </c>
    </row>
    <row r="14" spans="1:20" ht="26.25" x14ac:dyDescent="0.2">
      <c r="R14" s="83" t="s">
        <v>169</v>
      </c>
      <c r="S14" s="84"/>
      <c r="T14" s="45">
        <f>AVERAGE(T4:T12)</f>
        <v>109614767.34233238</v>
      </c>
    </row>
    <row r="16" spans="1:20" x14ac:dyDescent="0.2">
      <c r="R16" s="31"/>
      <c r="S16" s="31"/>
      <c r="T16" s="32"/>
    </row>
  </sheetData>
  <mergeCells count="19">
    <mergeCell ref="A1:S1"/>
    <mergeCell ref="F2:F3"/>
    <mergeCell ref="G2:G3"/>
    <mergeCell ref="H2:H3"/>
    <mergeCell ref="J2:J3"/>
    <mergeCell ref="K2:K3"/>
    <mergeCell ref="A2:A3"/>
    <mergeCell ref="B2:B3"/>
    <mergeCell ref="C2:C3"/>
    <mergeCell ref="D2:D3"/>
    <mergeCell ref="E2:E3"/>
    <mergeCell ref="M2:M3"/>
    <mergeCell ref="N2:N3"/>
    <mergeCell ref="O2:O3"/>
    <mergeCell ref="P2:P3"/>
    <mergeCell ref="Q2:Q3"/>
    <mergeCell ref="R13:S13"/>
    <mergeCell ref="R14:S14"/>
    <mergeCell ref="L2:L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rightToLeft="1" zoomScale="70" zoomScaleNormal="70" workbookViewId="0">
      <selection activeCell="F6" sqref="F6"/>
    </sheetView>
  </sheetViews>
  <sheetFormatPr defaultColWidth="9.125" defaultRowHeight="24.75" x14ac:dyDescent="0.2"/>
  <cols>
    <col min="1" max="1" width="6.75" style="1" bestFit="1" customWidth="1"/>
    <col min="2" max="2" width="18" style="2" bestFit="1" customWidth="1"/>
    <col min="3" max="3" width="8.5" style="2" bestFit="1" customWidth="1"/>
    <col min="4" max="4" width="13.75" style="2" bestFit="1" customWidth="1"/>
    <col min="5" max="5" width="17.5" style="13" bestFit="1" customWidth="1"/>
    <col min="6" max="6" width="15" style="2" bestFit="1" customWidth="1"/>
    <col min="7" max="7" width="10.125" style="2" bestFit="1" customWidth="1"/>
    <col min="8" max="9" width="10.25" style="2" bestFit="1" customWidth="1"/>
    <col min="10" max="11" width="12.25" style="1" bestFit="1" customWidth="1"/>
    <col min="12" max="15" width="12.5" style="1" bestFit="1" customWidth="1"/>
    <col min="16" max="16" width="12.25" style="2" bestFit="1" customWidth="1"/>
    <col min="17" max="17" width="17.375" style="1" customWidth="1"/>
    <col min="18" max="18" width="19" style="21" bestFit="1" customWidth="1"/>
    <col min="19" max="19" width="18.75" style="21" bestFit="1" customWidth="1"/>
    <col min="20" max="20" width="17.25" style="29" bestFit="1" customWidth="1"/>
    <col min="21" max="16384" width="9.125" style="1"/>
  </cols>
  <sheetData>
    <row r="1" spans="1:20" s="3" customFormat="1" ht="36" x14ac:dyDescent="0.2">
      <c r="A1" s="88" t="s">
        <v>170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20" ht="26.25" x14ac:dyDescent="0.2">
      <c r="A2" s="86" t="s">
        <v>1</v>
      </c>
      <c r="B2" s="86" t="s">
        <v>2</v>
      </c>
      <c r="C2" s="86" t="s">
        <v>19</v>
      </c>
      <c r="D2" s="86" t="s">
        <v>20</v>
      </c>
      <c r="E2" s="86" t="s">
        <v>107</v>
      </c>
      <c r="F2" s="86" t="s">
        <v>108</v>
      </c>
      <c r="G2" s="89" t="s">
        <v>109</v>
      </c>
      <c r="H2" s="89" t="s">
        <v>110</v>
      </c>
      <c r="I2" s="33" t="s">
        <v>15</v>
      </c>
      <c r="J2" s="86" t="s">
        <v>11</v>
      </c>
      <c r="K2" s="86" t="s">
        <v>12</v>
      </c>
      <c r="L2" s="86" t="s">
        <v>13</v>
      </c>
      <c r="M2" s="86" t="s">
        <v>14</v>
      </c>
      <c r="N2" s="86" t="s">
        <v>36</v>
      </c>
      <c r="O2" s="86" t="s">
        <v>18</v>
      </c>
      <c r="P2" s="79" t="s">
        <v>15</v>
      </c>
      <c r="Q2" s="85" t="s">
        <v>16</v>
      </c>
      <c r="R2" s="33" t="s">
        <v>0</v>
      </c>
      <c r="S2" s="33" t="s">
        <v>0</v>
      </c>
      <c r="T2" s="33" t="s">
        <v>0</v>
      </c>
    </row>
    <row r="3" spans="1:20" ht="52.5" x14ac:dyDescent="0.2">
      <c r="A3" s="87"/>
      <c r="B3" s="87"/>
      <c r="C3" s="87"/>
      <c r="D3" s="87"/>
      <c r="E3" s="87"/>
      <c r="F3" s="87"/>
      <c r="G3" s="87"/>
      <c r="H3" s="87"/>
      <c r="I3" s="25" t="s">
        <v>38</v>
      </c>
      <c r="J3" s="87"/>
      <c r="K3" s="87"/>
      <c r="L3" s="87"/>
      <c r="M3" s="87"/>
      <c r="N3" s="87"/>
      <c r="O3" s="87"/>
      <c r="P3" s="80"/>
      <c r="Q3" s="85"/>
      <c r="R3" s="26" t="s">
        <v>161</v>
      </c>
      <c r="S3" s="26" t="s">
        <v>162</v>
      </c>
      <c r="T3" s="25" t="s">
        <v>160</v>
      </c>
    </row>
    <row r="4" spans="1:20" x14ac:dyDescent="0.2">
      <c r="A4" s="9">
        <v>1</v>
      </c>
      <c r="B4" s="5" t="s">
        <v>113</v>
      </c>
      <c r="C4" s="5" t="s">
        <v>114</v>
      </c>
      <c r="D4" s="9">
        <v>4391835290</v>
      </c>
      <c r="E4" s="5" t="s">
        <v>115</v>
      </c>
      <c r="F4" s="5" t="s">
        <v>37</v>
      </c>
      <c r="G4" s="9">
        <v>7</v>
      </c>
      <c r="H4" s="9">
        <v>0</v>
      </c>
      <c r="I4" s="9">
        <v>80</v>
      </c>
      <c r="J4" s="7">
        <f>IF(G4=0,26554950,0)+IF(G4=1,43897391,0)+IF(G4=2,45829377,0)+IF(G4=3,47568183,0)+IF(G4=4,49030866,0)+IF(G4=5,50120231,0)+IF(G4=6,51392432,0)+IF(G4=7,52230564,0)+IF(G4=8,53186073,0)+IF(G4=9,53745052,0)+IF(G4&gt;=10,54120691,0)</f>
        <v>52230564</v>
      </c>
      <c r="K4" s="20">
        <f>H4*4179750</f>
        <v>0</v>
      </c>
      <c r="L4" s="10">
        <v>8500000</v>
      </c>
      <c r="M4" s="10">
        <v>6500000</v>
      </c>
      <c r="N4" s="10">
        <f>J4*2/12</f>
        <v>8705094</v>
      </c>
      <c r="O4" s="10">
        <f>J4/12</f>
        <v>4352547</v>
      </c>
      <c r="P4" s="8">
        <f>I4*1.4*(J4/30)/7.33</f>
        <v>26602197.216916781</v>
      </c>
      <c r="Q4" s="8"/>
      <c r="R4" s="10">
        <f>((J4+K4+L4+M4)/30)*31+N4+O4+P4+Q4</f>
        <v>109131421.01691678</v>
      </c>
      <c r="S4" s="10">
        <f>SUM(J4:Q4)</f>
        <v>106890402.21691678</v>
      </c>
      <c r="T4" s="10">
        <f>AVERAGE(R4:S4)</f>
        <v>108010911.61691678</v>
      </c>
    </row>
    <row r="5" spans="1:20" x14ac:dyDescent="0.2">
      <c r="A5" s="9">
        <v>2</v>
      </c>
      <c r="B5" s="5" t="s">
        <v>61</v>
      </c>
      <c r="C5" s="5" t="s">
        <v>58</v>
      </c>
      <c r="D5" s="9">
        <v>4360154372</v>
      </c>
      <c r="E5" s="5" t="s">
        <v>112</v>
      </c>
      <c r="F5" s="5" t="s">
        <v>106</v>
      </c>
      <c r="G5" s="9">
        <v>9</v>
      </c>
      <c r="H5" s="9">
        <v>1</v>
      </c>
      <c r="I5" s="17">
        <v>40</v>
      </c>
      <c r="J5" s="20">
        <f>IF(G5=0,26554950,0)+IF(G5=1,43897391,0)+IF(G5=2,45829377,0)+IF(G5=3,47568183,0)+IF(G5=4,49030866,0)+IF(G5=5,50120231,0)+IF(G5=6,51392432,0)+IF(G5=7,52230564,0)+IF(G5=8,53186073,0)+IF(G5=9,53745052,0)+IF(G5&gt;=10,54120691,0)</f>
        <v>53745052</v>
      </c>
      <c r="K5" s="20">
        <f>H5*4179750</f>
        <v>4179750</v>
      </c>
      <c r="L5" s="10">
        <v>8500000</v>
      </c>
      <c r="M5" s="10">
        <v>6500000</v>
      </c>
      <c r="N5" s="10">
        <f>J5*2/12</f>
        <v>8957508.666666666</v>
      </c>
      <c r="O5" s="10">
        <f>J5/12</f>
        <v>4478754.333333333</v>
      </c>
      <c r="P5" s="8">
        <f>I5*1.4*(J5/30)/7.33</f>
        <v>13686779.954524783</v>
      </c>
      <c r="Q5" s="8"/>
      <c r="R5" s="10">
        <f>((J5+K5+L5+M5)/30)*31+N5+O5+P5+Q5</f>
        <v>102478671.68785812</v>
      </c>
      <c r="S5" s="10">
        <f>SUM(J5:Q5)</f>
        <v>100047844.95452479</v>
      </c>
      <c r="T5" s="10">
        <f>AVERAGE(R5:S5)</f>
        <v>101263258.32119146</v>
      </c>
    </row>
    <row r="6" spans="1:20" x14ac:dyDescent="0.2">
      <c r="A6" s="9">
        <v>3</v>
      </c>
      <c r="B6" s="5" t="s">
        <v>60</v>
      </c>
      <c r="C6" s="5" t="s">
        <v>40</v>
      </c>
      <c r="D6" s="9">
        <v>5899658932</v>
      </c>
      <c r="E6" s="5" t="s">
        <v>112</v>
      </c>
      <c r="F6" s="5" t="s">
        <v>62</v>
      </c>
      <c r="G6" s="9">
        <v>4</v>
      </c>
      <c r="H6" s="9">
        <v>3</v>
      </c>
      <c r="I6" s="17">
        <v>40</v>
      </c>
      <c r="J6" s="20">
        <f>IF(G6=0,26554950,0)+IF(G6=1,43897391,0)+IF(G6=2,45829377,0)+IF(G6=3,47568183,0)+IF(G6=4,49030866,0)+IF(G6=5,50120231,0)+IF(G6=6,51392432,0)+IF(G6=7,52230564,0)+IF(G6=8,53186073,0)+IF(G6=9,53745052,0)+IF(G6&gt;=10,54120691,0)</f>
        <v>49030866</v>
      </c>
      <c r="K6" s="20">
        <f>H6*4179750</f>
        <v>12539250</v>
      </c>
      <c r="L6" s="10">
        <v>8500000</v>
      </c>
      <c r="M6" s="10">
        <v>6500000</v>
      </c>
      <c r="N6" s="10">
        <f t="shared" ref="N6" si="0">J6*2/12</f>
        <v>8171811</v>
      </c>
      <c r="O6" s="10">
        <f t="shared" ref="O6" si="1">J6/12</f>
        <v>4085905.5</v>
      </c>
      <c r="P6" s="8">
        <f>I6*1.4*(J6/30)/7.33</f>
        <v>12486259.645293316</v>
      </c>
      <c r="Q6" s="8"/>
      <c r="R6" s="10">
        <f t="shared" ref="R6" si="2">((J6+K6+L6+M6)/30)*31+N6+O6+P6+Q6</f>
        <v>103866429.34529331</v>
      </c>
      <c r="S6" s="10">
        <f t="shared" ref="S6" si="3">SUM(J6:Q6)</f>
        <v>101314092.14529331</v>
      </c>
      <c r="T6" s="10">
        <f t="shared" ref="T6:T7" si="4">AVERAGE(R6:S6)</f>
        <v>102590260.74529332</v>
      </c>
    </row>
    <row r="7" spans="1:20" x14ac:dyDescent="0.2">
      <c r="A7" s="9">
        <v>4</v>
      </c>
      <c r="B7" s="5" t="s">
        <v>59</v>
      </c>
      <c r="C7" s="5" t="s">
        <v>57</v>
      </c>
      <c r="D7" s="9">
        <v>5099284965</v>
      </c>
      <c r="E7" s="5" t="s">
        <v>111</v>
      </c>
      <c r="F7" s="22" t="s">
        <v>17</v>
      </c>
      <c r="G7" s="9">
        <v>8</v>
      </c>
      <c r="H7" s="9">
        <v>3</v>
      </c>
      <c r="I7" s="17">
        <v>60</v>
      </c>
      <c r="J7" s="20">
        <f>IF(G7=0,26554950,0)+IF(G7=1,43897391,0)+IF(G7=2,45829377,0)+IF(G7=3,47568183,0)+IF(G7=4,49030866,0)+IF(G7=5,50120231,0)+IF(G7=6,51392432,0)+IF(G7=7,52230564,0)+IF(G7=8,53186073,0)+IF(G7=9,53745052,0)+IF(G7&gt;=10,54120691,0)</f>
        <v>53186073</v>
      </c>
      <c r="K7" s="20">
        <f>H7*4179750</f>
        <v>12539250</v>
      </c>
      <c r="L7" s="10">
        <v>8500000</v>
      </c>
      <c r="M7" s="10">
        <v>6500000</v>
      </c>
      <c r="N7" s="10">
        <f>J7*2/12</f>
        <v>8864345.5</v>
      </c>
      <c r="O7" s="10">
        <f>J7/12</f>
        <v>4432172.75</v>
      </c>
      <c r="P7" s="8">
        <f>I7*1.4*(J7/30)/7.33</f>
        <v>20316644.529331516</v>
      </c>
      <c r="Q7" s="8">
        <f>0.15*J7</f>
        <v>7977910.9499999993</v>
      </c>
      <c r="R7" s="10">
        <f>((J7+K7+L7+M7)/30)*31+N7+O7+P7+Q7</f>
        <v>125007240.82933153</v>
      </c>
      <c r="S7" s="10">
        <f>SUM(J7:Q7)</f>
        <v>122316396.72933152</v>
      </c>
      <c r="T7" s="10">
        <f t="shared" si="4"/>
        <v>123661818.77933154</v>
      </c>
    </row>
    <row r="8" spans="1:20" ht="26.25" x14ac:dyDescent="0.2">
      <c r="I8" s="29"/>
      <c r="J8" s="21"/>
      <c r="P8" s="1"/>
      <c r="R8" s="81" t="s">
        <v>168</v>
      </c>
      <c r="S8" s="82"/>
      <c r="T8" s="10">
        <f>SUM(T4:T7)</f>
        <v>435526249.46273315</v>
      </c>
    </row>
    <row r="9" spans="1:20" ht="26.25" x14ac:dyDescent="0.2">
      <c r="P9" s="1"/>
      <c r="R9" s="83" t="s">
        <v>169</v>
      </c>
      <c r="S9" s="84"/>
      <c r="T9" s="45">
        <f>AVERAGE(T4:T7)</f>
        <v>108881562.36568329</v>
      </c>
    </row>
    <row r="10" spans="1:20" x14ac:dyDescent="0.2">
      <c r="P10" s="1"/>
      <c r="T10" s="21"/>
    </row>
    <row r="11" spans="1:20" x14ac:dyDescent="0.2">
      <c r="P11" s="1"/>
      <c r="R11" s="31"/>
      <c r="S11" s="31"/>
      <c r="T11" s="32"/>
    </row>
    <row r="12" spans="1:20" x14ac:dyDescent="0.2">
      <c r="P12" s="1"/>
    </row>
    <row r="13" spans="1:20" x14ac:dyDescent="0.2">
      <c r="P13" s="1"/>
    </row>
    <row r="14" spans="1:20" x14ac:dyDescent="0.2">
      <c r="P14" s="1"/>
    </row>
  </sheetData>
  <mergeCells count="19">
    <mergeCell ref="A1:S1"/>
    <mergeCell ref="A2:A3"/>
    <mergeCell ref="B2:B3"/>
    <mergeCell ref="C2:C3"/>
    <mergeCell ref="D2:D3"/>
    <mergeCell ref="E2:E3"/>
    <mergeCell ref="F2:F3"/>
    <mergeCell ref="G2:G3"/>
    <mergeCell ref="H2:H3"/>
    <mergeCell ref="J2:J3"/>
    <mergeCell ref="K2:K3"/>
    <mergeCell ref="L2:L3"/>
    <mergeCell ref="M2:M3"/>
    <mergeCell ref="P2:P3"/>
    <mergeCell ref="Q2:Q3"/>
    <mergeCell ref="N2:N3"/>
    <mergeCell ref="R8:S8"/>
    <mergeCell ref="R9:S9"/>
    <mergeCell ref="O2:O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rightToLeft="1" zoomScale="160" zoomScaleNormal="160" workbookViewId="0">
      <selection activeCell="B6" sqref="B6"/>
    </sheetView>
  </sheetViews>
  <sheetFormatPr defaultRowHeight="14.25" x14ac:dyDescent="0.2"/>
  <cols>
    <col min="2" max="2" width="12" customWidth="1"/>
  </cols>
  <sheetData>
    <row r="1" spans="1:2" ht="24" x14ac:dyDescent="0.2">
      <c r="A1" s="14" t="s">
        <v>116</v>
      </c>
      <c r="B1" s="14" t="s">
        <v>11</v>
      </c>
    </row>
    <row r="2" spans="1:2" x14ac:dyDescent="0.2">
      <c r="A2" s="15">
        <v>0</v>
      </c>
      <c r="B2" s="16">
        <v>26554950</v>
      </c>
    </row>
    <row r="3" spans="1:2" x14ac:dyDescent="0.2">
      <c r="A3" s="15">
        <v>1</v>
      </c>
      <c r="B3" s="16">
        <v>43897391</v>
      </c>
    </row>
    <row r="4" spans="1:2" x14ac:dyDescent="0.2">
      <c r="A4" s="15">
        <f t="shared" ref="A4:A10" si="0">A3+1</f>
        <v>2</v>
      </c>
      <c r="B4" s="16">
        <v>45829377.475999996</v>
      </c>
    </row>
    <row r="5" spans="1:2" x14ac:dyDescent="0.2">
      <c r="A5" s="15">
        <f t="shared" si="0"/>
        <v>3</v>
      </c>
      <c r="B5" s="16">
        <v>47568182.692400001</v>
      </c>
    </row>
    <row r="6" spans="1:2" x14ac:dyDescent="0.2">
      <c r="A6" s="15">
        <f t="shared" si="0"/>
        <v>4</v>
      </c>
      <c r="B6" s="16">
        <v>49030866.149730191</v>
      </c>
    </row>
    <row r="7" spans="1:2" x14ac:dyDescent="0.2">
      <c r="A7" s="15">
        <f t="shared" si="0"/>
        <v>5</v>
      </c>
      <c r="B7" s="16">
        <v>50120230.533563733</v>
      </c>
    </row>
    <row r="8" spans="1:2" x14ac:dyDescent="0.2">
      <c r="A8" s="15">
        <f t="shared" si="0"/>
        <v>6</v>
      </c>
      <c r="B8" s="16">
        <v>51392432.222875558</v>
      </c>
    </row>
    <row r="9" spans="1:2" x14ac:dyDescent="0.2">
      <c r="A9" s="15">
        <f t="shared" si="0"/>
        <v>7</v>
      </c>
      <c r="B9" s="16">
        <v>52230564.470814139</v>
      </c>
    </row>
    <row r="10" spans="1:2" x14ac:dyDescent="0.2">
      <c r="A10" s="15">
        <f t="shared" si="0"/>
        <v>8</v>
      </c>
      <c r="B10" s="16">
        <v>53186073.454205647</v>
      </c>
    </row>
    <row r="11" spans="1:2" x14ac:dyDescent="0.2">
      <c r="A11" s="15">
        <v>9</v>
      </c>
      <c r="B11" s="16">
        <v>53745051.799273126</v>
      </c>
    </row>
    <row r="12" spans="1:2" x14ac:dyDescent="0.2">
      <c r="A12" s="15">
        <v>10</v>
      </c>
      <c r="B12" s="16">
        <v>54120691.443358473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چارت نیروهای شاغل</vt:lpstr>
      <vt:lpstr>پیش بینی</vt:lpstr>
      <vt:lpstr>میانگین حقوق</vt:lpstr>
      <vt:lpstr>قزوین</vt:lpstr>
      <vt:lpstr>البرز</vt:lpstr>
      <vt:lpstr>آبیک</vt:lpstr>
      <vt:lpstr>تاکستان</vt:lpstr>
      <vt:lpstr>بویین زهرا</vt:lpstr>
      <vt:lpstr>پایه حقوق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se-fa-9</dc:creator>
  <cp:lastModifiedBy>se-me-13 Najaf abadi</cp:lastModifiedBy>
  <cp:lastPrinted>2023-02-28T07:00:39Z</cp:lastPrinted>
  <dcterms:created xsi:type="dcterms:W3CDTF">2021-11-18T04:49:19Z</dcterms:created>
  <dcterms:modified xsi:type="dcterms:W3CDTF">2023-04-20T07:49:23Z</dcterms:modified>
</cp:coreProperties>
</file>